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s://hcdsborg-my.sharepoint.com/personal/sofiaa_staff_hcdsb_org/Documents/"/>
    </mc:Choice>
  </mc:AlternateContent>
  <xr:revisionPtr revIDLastSave="0" documentId="8_{873D9710-F661-4827-97A0-92C9BB43D6C6}" xr6:coauthVersionLast="31" xr6:coauthVersionMax="31" xr10:uidLastSave="{00000000-0000-0000-0000-000000000000}"/>
  <bookViews>
    <workbookView xWindow="165" yWindow="0" windowWidth="23145" windowHeight="9300" firstSheet="1" activeTab="1" xr2:uid="{00000000-000D-0000-FFFF-FFFF00000000}"/>
  </bookViews>
  <sheets>
    <sheet name="2016_17actvs2016_17budsept2917" sheetId="2" state="hidden" r:id="rId1"/>
    <sheet name="2017_18actuals" sheetId="1" r:id="rId2"/>
    <sheet name="Pizza_Revenue" sheetId="4" state="hidden" r:id="rId3"/>
    <sheet name="Pizza_Cost" sheetId="5" state="hidden" r:id="rId4"/>
    <sheet name=" budget items" sheetId="3" state="hidden" r:id="rId5"/>
  </sheets>
  <externalReferences>
    <externalReference r:id="rId6"/>
  </externalReferences>
  <definedNames>
    <definedName name="_xlnm.Print_Area" localSheetId="4">' budget items'!$A$10:$E$36</definedName>
    <definedName name="_xlnm.Print_Area" localSheetId="0">'2016_17actvs2016_17budsept2917'!$A$1:$O$71</definedName>
    <definedName name="_xlnm.Print_Area" localSheetId="1">'2017_18actuals'!$A$1:$O$85</definedName>
  </definedNames>
  <calcPr calcId="179017"/>
</workbook>
</file>

<file path=xl/calcChain.xml><?xml version="1.0" encoding="utf-8"?>
<calcChain xmlns="http://schemas.openxmlformats.org/spreadsheetml/2006/main">
  <c r="D33" i="1" l="1"/>
  <c r="D81" i="1" s="1"/>
  <c r="D54" i="1"/>
  <c r="F30" i="1"/>
  <c r="F33" i="1" s="1"/>
  <c r="E54" i="1"/>
  <c r="N65" i="1"/>
  <c r="M65" i="1"/>
  <c r="K65" i="1"/>
  <c r="G65" i="1"/>
  <c r="D67" i="1"/>
  <c r="I10" i="1"/>
  <c r="O65" i="1" l="1"/>
  <c r="N60" i="1"/>
  <c r="M60" i="1"/>
  <c r="K60" i="1"/>
  <c r="G60" i="1"/>
  <c r="G62" i="1"/>
  <c r="G61" i="1"/>
  <c r="G59" i="1"/>
  <c r="N62" i="1"/>
  <c r="M62" i="1"/>
  <c r="K62" i="1"/>
  <c r="N61" i="1"/>
  <c r="M61" i="1"/>
  <c r="K61" i="1"/>
  <c r="N59" i="1"/>
  <c r="M59" i="1"/>
  <c r="K59" i="1"/>
  <c r="M21" i="1"/>
  <c r="N21" i="1"/>
  <c r="G21" i="1"/>
  <c r="O62" i="1" l="1"/>
  <c r="O59" i="1"/>
  <c r="O60" i="1"/>
  <c r="O61" i="1"/>
  <c r="K21" i="1"/>
  <c r="O21" i="1" s="1"/>
  <c r="E30" i="1"/>
  <c r="E33" i="1" s="1"/>
  <c r="F44" i="1" l="1"/>
  <c r="F54" i="1" s="1"/>
  <c r="H40" i="5" l="1"/>
  <c r="D40" i="5"/>
  <c r="J40" i="5" s="1"/>
  <c r="H39" i="5"/>
  <c r="D39" i="5"/>
  <c r="J39" i="5" s="1"/>
  <c r="H38" i="5"/>
  <c r="D38" i="5"/>
  <c r="J38" i="5" s="1"/>
  <c r="H37" i="5"/>
  <c r="D37" i="5"/>
  <c r="J37" i="5" s="1"/>
  <c r="H36" i="5"/>
  <c r="D36" i="5"/>
  <c r="J36" i="5" s="1"/>
  <c r="H35" i="5"/>
  <c r="D35" i="5"/>
  <c r="J35" i="5" s="1"/>
  <c r="H34" i="5"/>
  <c r="D34" i="5"/>
  <c r="J34" i="5" s="1"/>
  <c r="H33" i="5"/>
  <c r="D33" i="5"/>
  <c r="J33" i="5" s="1"/>
  <c r="H32" i="5"/>
  <c r="D32" i="5"/>
  <c r="J32" i="5" s="1"/>
  <c r="H31" i="5"/>
  <c r="D31" i="5"/>
  <c r="J31" i="5" s="1"/>
  <c r="H30" i="5"/>
  <c r="D30" i="5"/>
  <c r="J30" i="5" s="1"/>
  <c r="H29" i="5"/>
  <c r="D29" i="5"/>
  <c r="J29" i="5" s="1"/>
  <c r="H28" i="5"/>
  <c r="D28" i="5"/>
  <c r="J28" i="5" s="1"/>
  <c r="H27" i="5"/>
  <c r="D27" i="5"/>
  <c r="J27" i="5" s="1"/>
  <c r="H26" i="5"/>
  <c r="D26" i="5"/>
  <c r="J26" i="5" s="1"/>
  <c r="H25" i="5"/>
  <c r="D25" i="5"/>
  <c r="J25" i="5" s="1"/>
  <c r="H24" i="5"/>
  <c r="D24" i="5"/>
  <c r="J24" i="5" s="1"/>
  <c r="H23" i="5"/>
  <c r="D23" i="5"/>
  <c r="J23" i="5" s="1"/>
  <c r="H22" i="5"/>
  <c r="D22" i="5"/>
  <c r="J22" i="5" s="1"/>
  <c r="H21" i="5"/>
  <c r="D21" i="5"/>
  <c r="J21" i="5" s="1"/>
  <c r="H20" i="5"/>
  <c r="D20" i="5"/>
  <c r="J20" i="5" s="1"/>
  <c r="H19" i="5"/>
  <c r="D19" i="5"/>
  <c r="J19" i="5" s="1"/>
  <c r="H18" i="5"/>
  <c r="D18" i="5"/>
  <c r="J18" i="5" s="1"/>
  <c r="H17" i="5"/>
  <c r="D17" i="5"/>
  <c r="J17" i="5" s="1"/>
  <c r="H16" i="5"/>
  <c r="D16" i="5"/>
  <c r="J16" i="5" s="1"/>
  <c r="H15" i="5"/>
  <c r="D15" i="5"/>
  <c r="J15" i="5" s="1"/>
  <c r="H14" i="5"/>
  <c r="D14" i="5"/>
  <c r="J14" i="5" s="1"/>
  <c r="H13" i="5"/>
  <c r="D13" i="5"/>
  <c r="J13" i="5" s="1"/>
  <c r="H12" i="5"/>
  <c r="D12" i="5"/>
  <c r="J12" i="5" s="1"/>
  <c r="H11" i="5"/>
  <c r="D11" i="5"/>
  <c r="J11" i="5" s="1"/>
  <c r="H10" i="5"/>
  <c r="D10" i="5"/>
  <c r="J10" i="5" s="1"/>
  <c r="H9" i="5"/>
  <c r="D9" i="5"/>
  <c r="J9" i="5" s="1"/>
  <c r="H8" i="5"/>
  <c r="D8" i="5"/>
  <c r="J8" i="5" s="1"/>
  <c r="H7" i="5"/>
  <c r="D7" i="5"/>
  <c r="J7" i="5" s="1"/>
  <c r="H6" i="5"/>
  <c r="D6" i="5"/>
  <c r="J6" i="5" s="1"/>
  <c r="H5" i="5"/>
  <c r="D5" i="5"/>
  <c r="H4" i="5"/>
  <c r="D4" i="5"/>
  <c r="J4" i="5" s="1"/>
  <c r="H42" i="5" l="1"/>
  <c r="G33" i="4" s="1"/>
  <c r="D42" i="5"/>
  <c r="J5" i="5"/>
  <c r="N43" i="1"/>
  <c r="M43" i="1"/>
  <c r="K43" i="1"/>
  <c r="G43" i="1"/>
  <c r="J58" i="1"/>
  <c r="J57" i="1"/>
  <c r="J42" i="5" l="1"/>
  <c r="G32" i="4"/>
  <c r="O43" i="1"/>
  <c r="M20" i="1"/>
  <c r="G20" i="1"/>
  <c r="N51" i="1"/>
  <c r="M51" i="1"/>
  <c r="K51" i="1"/>
  <c r="G51" i="1"/>
  <c r="O51" i="1" l="1"/>
  <c r="N63" i="1"/>
  <c r="N52" i="1"/>
  <c r="M52" i="1"/>
  <c r="M48" i="1"/>
  <c r="M47" i="1"/>
  <c r="M46" i="1"/>
  <c r="M45" i="1"/>
  <c r="M44" i="1"/>
  <c r="N42" i="1"/>
  <c r="M42" i="1"/>
  <c r="N41" i="1"/>
  <c r="M41" i="1"/>
  <c r="M40" i="1"/>
  <c r="M39" i="1"/>
  <c r="N38" i="1"/>
  <c r="M38" i="1"/>
  <c r="M36" i="1"/>
  <c r="K28" i="1"/>
  <c r="J76" i="1"/>
  <c r="N76" i="1" s="1"/>
  <c r="K58" i="1"/>
  <c r="K57" i="1"/>
  <c r="K41" i="1"/>
  <c r="M49" i="1"/>
  <c r="J45" i="1"/>
  <c r="K45" i="1" s="1"/>
  <c r="J36" i="1"/>
  <c r="N36" i="1" s="1"/>
  <c r="M63" i="1"/>
  <c r="F28" i="4"/>
  <c r="E28" i="4"/>
  <c r="H26" i="4"/>
  <c r="G26" i="4"/>
  <c r="D26" i="4"/>
  <c r="C26" i="4"/>
  <c r="B26" i="4"/>
  <c r="H25" i="4"/>
  <c r="G25" i="4"/>
  <c r="D25" i="4"/>
  <c r="C25" i="4"/>
  <c r="B25" i="4"/>
  <c r="H24" i="4"/>
  <c r="G24" i="4"/>
  <c r="D24" i="4"/>
  <c r="C24" i="4"/>
  <c r="B24" i="4"/>
  <c r="H23" i="4"/>
  <c r="G23" i="4"/>
  <c r="D23" i="4"/>
  <c r="C23" i="4"/>
  <c r="B23" i="4"/>
  <c r="H22" i="4"/>
  <c r="G22" i="4"/>
  <c r="D22" i="4"/>
  <c r="C22" i="4"/>
  <c r="B22" i="4"/>
  <c r="H21" i="4"/>
  <c r="G21" i="4"/>
  <c r="D21" i="4"/>
  <c r="C21" i="4"/>
  <c r="B21" i="4"/>
  <c r="H20" i="4"/>
  <c r="G20" i="4"/>
  <c r="D20" i="4"/>
  <c r="C20" i="4"/>
  <c r="B20" i="4"/>
  <c r="H19" i="4"/>
  <c r="G19" i="4"/>
  <c r="D19" i="4"/>
  <c r="C19" i="4"/>
  <c r="B19" i="4"/>
  <c r="H18" i="4"/>
  <c r="G18" i="4"/>
  <c r="D18" i="4"/>
  <c r="C18" i="4"/>
  <c r="B18" i="4"/>
  <c r="H17" i="4"/>
  <c r="G17" i="4"/>
  <c r="D17" i="4"/>
  <c r="C17" i="4"/>
  <c r="B17" i="4"/>
  <c r="H16" i="4"/>
  <c r="G16" i="4"/>
  <c r="D16" i="4"/>
  <c r="C16" i="4"/>
  <c r="B16" i="4"/>
  <c r="H15" i="4"/>
  <c r="G15" i="4"/>
  <c r="D15" i="4"/>
  <c r="C15" i="4"/>
  <c r="B15" i="4"/>
  <c r="H14" i="4"/>
  <c r="G14" i="4"/>
  <c r="D14" i="4"/>
  <c r="C14" i="4"/>
  <c r="B14" i="4"/>
  <c r="H13" i="4"/>
  <c r="G13" i="4"/>
  <c r="D13" i="4"/>
  <c r="C13" i="4"/>
  <c r="B13" i="4"/>
  <c r="H12" i="4"/>
  <c r="G12" i="4"/>
  <c r="D12" i="4"/>
  <c r="C12" i="4"/>
  <c r="B12" i="4"/>
  <c r="H11" i="4"/>
  <c r="G11" i="4"/>
  <c r="D11" i="4"/>
  <c r="C11" i="4"/>
  <c r="B11" i="4"/>
  <c r="H10" i="4"/>
  <c r="G10" i="4"/>
  <c r="D10" i="4"/>
  <c r="C10" i="4"/>
  <c r="B10" i="4"/>
  <c r="H9" i="4"/>
  <c r="G9" i="4"/>
  <c r="D9" i="4"/>
  <c r="C9" i="4"/>
  <c r="B9" i="4"/>
  <c r="H8" i="4"/>
  <c r="G8" i="4"/>
  <c r="D8" i="4"/>
  <c r="C8" i="4"/>
  <c r="B8" i="4"/>
  <c r="H7" i="4"/>
  <c r="G7" i="4"/>
  <c r="D7" i="4"/>
  <c r="C7" i="4"/>
  <c r="B7" i="4"/>
  <c r="H6" i="4"/>
  <c r="G6" i="4"/>
  <c r="D6" i="4"/>
  <c r="C6" i="4"/>
  <c r="B6" i="4"/>
  <c r="H5" i="4"/>
  <c r="G5" i="4"/>
  <c r="D5" i="4"/>
  <c r="C5" i="4"/>
  <c r="B5" i="4"/>
  <c r="H4" i="4"/>
  <c r="G4" i="4"/>
  <c r="D4" i="4"/>
  <c r="C4" i="4"/>
  <c r="B4" i="4"/>
  <c r="H3" i="4"/>
  <c r="G3" i="4"/>
  <c r="D3" i="4"/>
  <c r="C3" i="4"/>
  <c r="B3" i="4"/>
  <c r="K10" i="1"/>
  <c r="G12" i="1"/>
  <c r="K12" i="1"/>
  <c r="G14" i="1"/>
  <c r="K14" i="1"/>
  <c r="G17" i="1"/>
  <c r="K17" i="1"/>
  <c r="G22" i="1"/>
  <c r="K22" i="1"/>
  <c r="G18" i="1"/>
  <c r="G19" i="1"/>
  <c r="K19" i="1"/>
  <c r="G23" i="1"/>
  <c r="K23" i="1"/>
  <c r="M50" i="1"/>
  <c r="G30" i="1"/>
  <c r="K30" i="1"/>
  <c r="G29" i="1"/>
  <c r="M57" i="1"/>
  <c r="M58" i="1"/>
  <c r="M31" i="1"/>
  <c r="N31" i="1"/>
  <c r="M64" i="1"/>
  <c r="N64" i="1"/>
  <c r="M70" i="1"/>
  <c r="N70" i="1"/>
  <c r="M71" i="1"/>
  <c r="N71" i="1"/>
  <c r="M76" i="1"/>
  <c r="M77" i="1"/>
  <c r="N77" i="1"/>
  <c r="M28" i="1"/>
  <c r="K52" i="1"/>
  <c r="K31" i="1"/>
  <c r="K64" i="1"/>
  <c r="K70" i="1"/>
  <c r="K71" i="1"/>
  <c r="K77" i="1"/>
  <c r="N10" i="1"/>
  <c r="M10" i="1"/>
  <c r="N17" i="1"/>
  <c r="N22" i="1"/>
  <c r="N19" i="1"/>
  <c r="N23" i="1"/>
  <c r="M17" i="1"/>
  <c r="M22" i="1"/>
  <c r="M18" i="1"/>
  <c r="M19" i="1"/>
  <c r="M23" i="1"/>
  <c r="I25" i="1"/>
  <c r="G50" i="1"/>
  <c r="F25" i="1"/>
  <c r="E25" i="1"/>
  <c r="I79" i="1"/>
  <c r="G76" i="1"/>
  <c r="G77" i="1"/>
  <c r="G28" i="1"/>
  <c r="F79" i="1"/>
  <c r="E79" i="1"/>
  <c r="J73" i="1"/>
  <c r="I73" i="1"/>
  <c r="G70" i="1"/>
  <c r="G71" i="1"/>
  <c r="F73" i="1"/>
  <c r="E73" i="1"/>
  <c r="I67" i="1"/>
  <c r="G57" i="1"/>
  <c r="G58" i="1"/>
  <c r="G63" i="1"/>
  <c r="G31" i="1"/>
  <c r="G64" i="1"/>
  <c r="F67" i="1"/>
  <c r="E67" i="1"/>
  <c r="G52" i="1"/>
  <c r="K42" i="1"/>
  <c r="G42" i="1"/>
  <c r="G12" i="2"/>
  <c r="G14" i="2"/>
  <c r="E17" i="2"/>
  <c r="F17" i="2"/>
  <c r="N17" i="2" s="1"/>
  <c r="G18" i="2"/>
  <c r="E19" i="2"/>
  <c r="M19" i="2" s="1"/>
  <c r="F19" i="2"/>
  <c r="E20" i="2"/>
  <c r="G20" i="2" s="1"/>
  <c r="O20" i="2" s="1"/>
  <c r="F20" i="2"/>
  <c r="K20" i="2"/>
  <c r="E21" i="2"/>
  <c r="F21" i="2"/>
  <c r="N21" i="2" s="1"/>
  <c r="I21" i="2"/>
  <c r="J21" i="2"/>
  <c r="G22" i="2"/>
  <c r="E23" i="2"/>
  <c r="G23" i="2" s="1"/>
  <c r="K23" i="2"/>
  <c r="E27" i="2"/>
  <c r="E30" i="2" s="1"/>
  <c r="K27" i="2"/>
  <c r="F28" i="2"/>
  <c r="G28" i="2" s="1"/>
  <c r="O28" i="2" s="1"/>
  <c r="G29" i="2"/>
  <c r="G33" i="2"/>
  <c r="G34" i="2"/>
  <c r="F35" i="2"/>
  <c r="G35" i="2" s="1"/>
  <c r="G36" i="2"/>
  <c r="J39" i="1" s="1"/>
  <c r="N39" i="1" s="1"/>
  <c r="G37" i="2"/>
  <c r="J40" i="1" s="1"/>
  <c r="N40" i="1" s="1"/>
  <c r="G38" i="2"/>
  <c r="G39" i="2"/>
  <c r="G40" i="2"/>
  <c r="G41" i="2"/>
  <c r="F42" i="2"/>
  <c r="G42" i="2" s="1"/>
  <c r="F43" i="2"/>
  <c r="J47" i="1" s="1"/>
  <c r="N47" i="1" s="1"/>
  <c r="G44" i="2"/>
  <c r="F45" i="2"/>
  <c r="G45" i="2" s="1"/>
  <c r="J49" i="1" s="1"/>
  <c r="F49" i="2"/>
  <c r="F55" i="2" s="1"/>
  <c r="G50" i="2"/>
  <c r="G51" i="2"/>
  <c r="G52" i="2"/>
  <c r="F53" i="2"/>
  <c r="G53" i="2" s="1"/>
  <c r="G54" i="2"/>
  <c r="E60" i="2"/>
  <c r="F60" i="2"/>
  <c r="G63" i="2"/>
  <c r="G64" i="2"/>
  <c r="G65" i="2"/>
  <c r="G66" i="2"/>
  <c r="E34" i="3"/>
  <c r="E32" i="3"/>
  <c r="E30" i="3"/>
  <c r="E28" i="3"/>
  <c r="E27" i="3"/>
  <c r="G38" i="1"/>
  <c r="G47" i="1"/>
  <c r="G37" i="1"/>
  <c r="G36" i="1"/>
  <c r="G39" i="1"/>
  <c r="G40" i="1"/>
  <c r="G41" i="1"/>
  <c r="G44" i="1"/>
  <c r="G45" i="1"/>
  <c r="G46" i="1"/>
  <c r="G48" i="1"/>
  <c r="G49" i="1"/>
  <c r="E8" i="3"/>
  <c r="E7" i="3"/>
  <c r="E25" i="3"/>
  <c r="E24" i="3"/>
  <c r="E23" i="3"/>
  <c r="E11" i="3"/>
  <c r="E10" i="3"/>
  <c r="E20" i="3"/>
  <c r="E21" i="3"/>
  <c r="E18" i="3"/>
  <c r="E12" i="3"/>
  <c r="E13" i="3"/>
  <c r="E14" i="3"/>
  <c r="E15" i="3"/>
  <c r="E16" i="3"/>
  <c r="E17" i="3"/>
  <c r="E19" i="3"/>
  <c r="E2" i="3"/>
  <c r="E3" i="3"/>
  <c r="E4" i="3"/>
  <c r="E5" i="3"/>
  <c r="E6" i="3"/>
  <c r="E1" i="3"/>
  <c r="J20" i="1" s="1"/>
  <c r="N20" i="1" s="1"/>
  <c r="K12" i="2"/>
  <c r="M12" i="2"/>
  <c r="N12" i="2"/>
  <c r="K14" i="2"/>
  <c r="O14" i="2" s="1"/>
  <c r="M14" i="2"/>
  <c r="N14" i="2"/>
  <c r="K17" i="2"/>
  <c r="N18" i="2"/>
  <c r="N19" i="2"/>
  <c r="N20" i="2"/>
  <c r="N22" i="2"/>
  <c r="N23" i="2"/>
  <c r="K18" i="2"/>
  <c r="M18" i="2"/>
  <c r="K19" i="2"/>
  <c r="K22" i="2"/>
  <c r="O22" i="2" s="1"/>
  <c r="M22" i="2"/>
  <c r="I24" i="2"/>
  <c r="N27" i="2"/>
  <c r="K28" i="2"/>
  <c r="M28" i="2"/>
  <c r="K29" i="2"/>
  <c r="O29" i="2" s="1"/>
  <c r="M29" i="2"/>
  <c r="N29" i="2"/>
  <c r="I30" i="2"/>
  <c r="J30" i="2"/>
  <c r="K33" i="2"/>
  <c r="K34" i="2"/>
  <c r="K35" i="2"/>
  <c r="K36" i="2"/>
  <c r="K37" i="2"/>
  <c r="K38" i="2"/>
  <c r="K39" i="2"/>
  <c r="K40" i="2"/>
  <c r="K41" i="2"/>
  <c r="K43" i="2"/>
  <c r="K44" i="2"/>
  <c r="K45" i="2"/>
  <c r="M33" i="2"/>
  <c r="N33" i="2"/>
  <c r="M34" i="2"/>
  <c r="O34" i="2" s="1"/>
  <c r="N34" i="2"/>
  <c r="M35" i="2"/>
  <c r="M36" i="2"/>
  <c r="N36" i="2"/>
  <c r="M37" i="2"/>
  <c r="N37" i="2"/>
  <c r="M38" i="2"/>
  <c r="N38" i="2"/>
  <c r="M39" i="2"/>
  <c r="N39" i="2"/>
  <c r="M40" i="2"/>
  <c r="N40" i="2"/>
  <c r="M41" i="2"/>
  <c r="N41" i="2"/>
  <c r="M42" i="2"/>
  <c r="M43" i="2"/>
  <c r="M44" i="2"/>
  <c r="N44" i="2"/>
  <c r="M45" i="2"/>
  <c r="E46" i="2"/>
  <c r="I46" i="2"/>
  <c r="J46" i="2"/>
  <c r="K49" i="2"/>
  <c r="M49" i="2"/>
  <c r="N49" i="2"/>
  <c r="K50" i="2"/>
  <c r="M50" i="2"/>
  <c r="N50" i="2"/>
  <c r="K51" i="2"/>
  <c r="M51" i="2"/>
  <c r="N51" i="2"/>
  <c r="K52" i="2"/>
  <c r="M52" i="2"/>
  <c r="N52" i="2"/>
  <c r="K53" i="2"/>
  <c r="M53" i="2"/>
  <c r="N53" i="2"/>
  <c r="K54" i="2"/>
  <c r="M54" i="2"/>
  <c r="N54" i="2"/>
  <c r="E55" i="2"/>
  <c r="I55" i="2"/>
  <c r="J55" i="2"/>
  <c r="G58" i="2"/>
  <c r="K58" i="2"/>
  <c r="M58" i="2"/>
  <c r="N58" i="2"/>
  <c r="G59" i="2"/>
  <c r="K59" i="2"/>
  <c r="M59" i="2"/>
  <c r="N59" i="2"/>
  <c r="I60" i="2"/>
  <c r="J60" i="2"/>
  <c r="K63" i="2"/>
  <c r="M63" i="2"/>
  <c r="N63" i="2"/>
  <c r="K64" i="2"/>
  <c r="M64" i="2"/>
  <c r="N64" i="2"/>
  <c r="K65" i="2"/>
  <c r="M65" i="2"/>
  <c r="N65" i="2"/>
  <c r="K66" i="2"/>
  <c r="M66" i="2"/>
  <c r="N66" i="2"/>
  <c r="E67" i="2"/>
  <c r="F67" i="2"/>
  <c r="I67" i="2"/>
  <c r="J67" i="2"/>
  <c r="M12" i="1"/>
  <c r="N12" i="1"/>
  <c r="M14" i="1"/>
  <c r="N14" i="1"/>
  <c r="M30" i="1"/>
  <c r="N30" i="1"/>
  <c r="K37" i="1"/>
  <c r="M37" i="1"/>
  <c r="N37" i="1"/>
  <c r="O66" i="2" l="1"/>
  <c r="K67" i="2"/>
  <c r="N67" i="2"/>
  <c r="G54" i="1"/>
  <c r="K30" i="2"/>
  <c r="K21" i="2"/>
  <c r="N28" i="2"/>
  <c r="N30" i="2" s="1"/>
  <c r="N42" i="2"/>
  <c r="J18" i="1"/>
  <c r="N18" i="1" s="1"/>
  <c r="F30" i="2"/>
  <c r="G49" i="2"/>
  <c r="G33" i="1"/>
  <c r="F81" i="1"/>
  <c r="E81" i="1"/>
  <c r="K73" i="1"/>
  <c r="G28" i="4"/>
  <c r="I29" i="1" s="1"/>
  <c r="I33" i="1" s="1"/>
  <c r="O42" i="1"/>
  <c r="O53" i="2"/>
  <c r="N55" i="2"/>
  <c r="G21" i="2"/>
  <c r="G17" i="2"/>
  <c r="K18" i="1"/>
  <c r="O18" i="1" s="1"/>
  <c r="K20" i="1"/>
  <c r="O20" i="1" s="1"/>
  <c r="O49" i="2"/>
  <c r="O44" i="2"/>
  <c r="O64" i="2"/>
  <c r="O59" i="2"/>
  <c r="O58" i="2"/>
  <c r="N45" i="2"/>
  <c r="O45" i="2" s="1"/>
  <c r="O39" i="2"/>
  <c r="F24" i="2"/>
  <c r="O37" i="1"/>
  <c r="N60" i="2"/>
  <c r="O51" i="2"/>
  <c r="K55" i="2"/>
  <c r="M23" i="2"/>
  <c r="G60" i="2"/>
  <c r="O18" i="2"/>
  <c r="J29" i="1"/>
  <c r="J33" i="1" s="1"/>
  <c r="J46" i="1"/>
  <c r="N46" i="1" s="1"/>
  <c r="O46" i="1" s="1"/>
  <c r="K24" i="2"/>
  <c r="I69" i="2"/>
  <c r="F46" i="2"/>
  <c r="M20" i="2"/>
  <c r="M60" i="2"/>
  <c r="O60" i="2" s="1"/>
  <c r="O65" i="2"/>
  <c r="O52" i="2"/>
  <c r="O42" i="2"/>
  <c r="O37" i="2"/>
  <c r="O33" i="2"/>
  <c r="K46" i="2"/>
  <c r="J24" i="2"/>
  <c r="J69" i="2" s="1"/>
  <c r="G43" i="2"/>
  <c r="G46" i="2" s="1"/>
  <c r="G27" i="2"/>
  <c r="J44" i="1"/>
  <c r="N44" i="1" s="1"/>
  <c r="O44" i="1" s="1"/>
  <c r="E24" i="2"/>
  <c r="E69" i="2" s="1"/>
  <c r="M67" i="2"/>
  <c r="O63" i="2"/>
  <c r="O67" i="2" s="1"/>
  <c r="O54" i="2"/>
  <c r="O50" i="2"/>
  <c r="N43" i="2"/>
  <c r="N46" i="2"/>
  <c r="O36" i="2"/>
  <c r="M27" i="2"/>
  <c r="M30" i="2" s="1"/>
  <c r="M21" i="2"/>
  <c r="G67" i="2"/>
  <c r="G19" i="2"/>
  <c r="N24" i="2"/>
  <c r="M55" i="2"/>
  <c r="O43" i="2"/>
  <c r="N35" i="2"/>
  <c r="O35" i="2" s="1"/>
  <c r="O19" i="2"/>
  <c r="O12" i="2"/>
  <c r="G55" i="2"/>
  <c r="O23" i="2"/>
  <c r="J50" i="1"/>
  <c r="M46" i="2"/>
  <c r="O40" i="2"/>
  <c r="O38" i="2"/>
  <c r="O41" i="2"/>
  <c r="G67" i="1"/>
  <c r="G73" i="1"/>
  <c r="O14" i="1"/>
  <c r="M79" i="1"/>
  <c r="M73" i="1"/>
  <c r="O31" i="1"/>
  <c r="N73" i="1"/>
  <c r="O71" i="1"/>
  <c r="O77" i="1"/>
  <c r="O70" i="1"/>
  <c r="O30" i="1"/>
  <c r="O12" i="1"/>
  <c r="G79" i="1"/>
  <c r="O40" i="1"/>
  <c r="O52" i="1"/>
  <c r="K39" i="1"/>
  <c r="G25" i="1"/>
  <c r="K49" i="1"/>
  <c r="M25" i="1"/>
  <c r="N58" i="1"/>
  <c r="O58" i="1" s="1"/>
  <c r="K36" i="1"/>
  <c r="K76" i="1"/>
  <c r="K79" i="1" s="1"/>
  <c r="O36" i="1"/>
  <c r="N45" i="1"/>
  <c r="O45" i="1" s="1"/>
  <c r="O47" i="1"/>
  <c r="K47" i="1"/>
  <c r="O23" i="1"/>
  <c r="J48" i="1"/>
  <c r="O39" i="1"/>
  <c r="N49" i="1"/>
  <c r="O49" i="1" s="1"/>
  <c r="O19" i="1"/>
  <c r="O17" i="1"/>
  <c r="O38" i="1"/>
  <c r="O41" i="1"/>
  <c r="M29" i="1"/>
  <c r="M33" i="1" s="1"/>
  <c r="B28" i="4"/>
  <c r="B30" i="4" s="1"/>
  <c r="H28" i="4"/>
  <c r="C28" i="4"/>
  <c r="C30" i="4" s="1"/>
  <c r="D28" i="4"/>
  <c r="G34" i="4"/>
  <c r="G36" i="4" s="1"/>
  <c r="O22" i="1"/>
  <c r="O63" i="1"/>
  <c r="O64" i="1"/>
  <c r="J79" i="1"/>
  <c r="N28" i="1"/>
  <c r="O76" i="1"/>
  <c r="J67" i="1"/>
  <c r="N57" i="1"/>
  <c r="O57" i="1" s="1"/>
  <c r="K40" i="1"/>
  <c r="I54" i="1"/>
  <c r="K38" i="1"/>
  <c r="K63" i="1"/>
  <c r="K67" i="1" s="1"/>
  <c r="M67" i="1"/>
  <c r="O55" i="2"/>
  <c r="O17" i="2"/>
  <c r="K60" i="2"/>
  <c r="M17" i="2"/>
  <c r="N69" i="2" l="1"/>
  <c r="G24" i="2"/>
  <c r="O21" i="2"/>
  <c r="O28" i="1"/>
  <c r="I81" i="1"/>
  <c r="G81" i="1"/>
  <c r="K29" i="1"/>
  <c r="J54" i="1"/>
  <c r="K44" i="1"/>
  <c r="K46" i="1"/>
  <c r="O24" i="2"/>
  <c r="O46" i="2"/>
  <c r="N29" i="1"/>
  <c r="N33" i="1" s="1"/>
  <c r="M24" i="2"/>
  <c r="M69" i="2" s="1"/>
  <c r="K69" i="2"/>
  <c r="F69" i="2"/>
  <c r="O27" i="2"/>
  <c r="O30" i="2" s="1"/>
  <c r="O69" i="2" s="1"/>
  <c r="O10" i="1" s="1"/>
  <c r="G30" i="2"/>
  <c r="G69" i="2" s="1"/>
  <c r="G71" i="2" s="1"/>
  <c r="G80" i="2" s="1"/>
  <c r="K50" i="1"/>
  <c r="K25" i="1" s="1"/>
  <c r="J25" i="1"/>
  <c r="N50" i="1"/>
  <c r="O73" i="1"/>
  <c r="N79" i="1"/>
  <c r="O79" i="1"/>
  <c r="K48" i="1"/>
  <c r="N48" i="1"/>
  <c r="O48" i="1" s="1"/>
  <c r="O67" i="1"/>
  <c r="N67" i="1"/>
  <c r="M54" i="1"/>
  <c r="M81" i="1" s="1"/>
  <c r="O29" i="1" l="1"/>
  <c r="O33" i="1" s="1"/>
  <c r="K33" i="1"/>
  <c r="J81" i="1"/>
  <c r="K54" i="1"/>
  <c r="O50" i="1"/>
  <c r="O25" i="1" s="1"/>
  <c r="N25" i="1"/>
  <c r="N54" i="1"/>
  <c r="K81" i="1" l="1"/>
  <c r="N81" i="1"/>
  <c r="O54" i="1"/>
  <c r="O8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Palalas, Diana</author>
  </authors>
  <commentList>
    <comment ref="D10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Palalas, Diana:</t>
        </r>
        <r>
          <rPr>
            <sz val="9"/>
            <color indexed="81"/>
            <rFont val="Tahoma"/>
            <charset val="1"/>
          </rPr>
          <t xml:space="preserve">
This PY revenue was deployed as revenue across all the categories below</t>
        </r>
      </text>
    </comment>
    <comment ref="G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Palalas, Diana:</t>
        </r>
        <r>
          <rPr>
            <sz val="9"/>
            <color indexed="81"/>
            <rFont val="Tahoma"/>
            <family val="2"/>
          </rPr>
          <t xml:space="preserve">
This will be depleted once the bills for pizza $2500, grad awards $500 and soccer uniforms $1000 come in</t>
        </r>
      </text>
    </comment>
    <comment ref="G29" authorId="0" shapeId="0" xr:uid="{00000000-0006-0000-0100-000003000000}">
      <text>
        <r>
          <rPr>
            <b/>
            <sz val="9"/>
            <color indexed="81"/>
            <rFont val="Tahoma"/>
            <charset val="1"/>
          </rPr>
          <t>Palalas, Diana: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0" authorId="0" shapeId="0" xr:uid="{00000000-0006-0000-0100-000004000000}">
      <text>
        <r>
          <rPr>
            <b/>
            <sz val="9"/>
            <color indexed="81"/>
            <rFont val="Tahoma"/>
            <charset val="1"/>
          </rPr>
          <t>Palalas, Diana:</t>
        </r>
        <r>
          <rPr>
            <sz val="9"/>
            <color indexed="81"/>
            <rFont val="Tahoma"/>
            <charset val="1"/>
          </rPr>
          <t xml:space="preserve">
2017-2018 WTC funds collected</t>
        </r>
      </text>
    </comment>
    <comment ref="B49" authorId="0" shapeId="0" xr:uid="{00000000-0006-0000-0100-000005000000}">
      <text>
        <r>
          <rPr>
            <b/>
            <sz val="9"/>
            <color indexed="81"/>
            <rFont val="Tahoma"/>
            <charset val="1"/>
          </rPr>
          <t>Palalas, Diana:</t>
        </r>
        <r>
          <rPr>
            <sz val="9"/>
            <color indexed="81"/>
            <rFont val="Tahoma"/>
            <charset val="1"/>
          </rPr>
          <t xml:space="preserve">
Actual net expense is $1500</t>
        </r>
      </text>
    </comment>
    <comment ref="J6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Palalas, Diana:</t>
        </r>
        <r>
          <rPr>
            <sz val="9"/>
            <color indexed="81"/>
            <rFont val="Tahoma"/>
            <family val="2"/>
          </rPr>
          <t xml:space="preserve">
Summer repairs $4-5K
Consumables $3-4K sheet music, oils, reeds, mouth pieces
Ongoing maintenance</t>
        </r>
      </text>
    </comment>
    <comment ref="G81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Palalas, Diana:</t>
        </r>
        <r>
          <rPr>
            <sz val="9"/>
            <color indexed="81"/>
            <rFont val="Tahoma"/>
            <family val="2"/>
          </rPr>
          <t xml:space="preserve">
Amount remaining to cover off June pizza bill</t>
        </r>
      </text>
    </comment>
  </commentList>
</comments>
</file>

<file path=xl/sharedStrings.xml><?xml version="1.0" encoding="utf-8"?>
<sst xmlns="http://schemas.openxmlformats.org/spreadsheetml/2006/main" count="316" uniqueCount="217">
  <si>
    <t>Actuals</t>
  </si>
  <si>
    <t>Budget</t>
  </si>
  <si>
    <t>Variance</t>
  </si>
  <si>
    <t>SOURCE</t>
  </si>
  <si>
    <t>USE</t>
  </si>
  <si>
    <t>NET FUNDS</t>
  </si>
  <si>
    <t>SOURCE/Inflow</t>
  </si>
  <si>
    <t>USE/(Outflow)</t>
  </si>
  <si>
    <t>act vs budget</t>
  </si>
  <si>
    <t>Inflow/(Outflow)</t>
  </si>
  <si>
    <t>fav/(unfav)</t>
  </si>
  <si>
    <t>surplus/(deficit)</t>
  </si>
  <si>
    <t>Opening Balance</t>
  </si>
  <si>
    <t>Field trips/Excursion Busing</t>
  </si>
  <si>
    <t>Fundraising for External charities</t>
  </si>
  <si>
    <t>Clubs, Athletics and Activity fee</t>
  </si>
  <si>
    <t>team uniforms</t>
  </si>
  <si>
    <t xml:space="preserve">clubs </t>
  </si>
  <si>
    <t>Hockey  Tournament</t>
  </si>
  <si>
    <t>Dance squad/Band</t>
  </si>
  <si>
    <t>Year book</t>
  </si>
  <si>
    <t>Liturgical</t>
  </si>
  <si>
    <t>School Fundraising</t>
  </si>
  <si>
    <t>Write the cheque</t>
  </si>
  <si>
    <t>Pizza</t>
  </si>
  <si>
    <t>Milk</t>
  </si>
  <si>
    <t>Special events</t>
  </si>
  <si>
    <t>BBQ/cirriculum/new families</t>
  </si>
  <si>
    <t>Musical/ Concert</t>
  </si>
  <si>
    <t>prograntevent /games night/wellness</t>
  </si>
  <si>
    <t>Pancake Tuesday</t>
  </si>
  <si>
    <t xml:space="preserve">Parent wrkshp/xmas Social </t>
  </si>
  <si>
    <t>Pasta Night</t>
  </si>
  <si>
    <t>French Café</t>
  </si>
  <si>
    <t>Jump rope/valentine dance</t>
  </si>
  <si>
    <t>Volunteer appreciation</t>
  </si>
  <si>
    <t>???</t>
  </si>
  <si>
    <t>bravo gr 6</t>
  </si>
  <si>
    <t>First Comm/confirm Gr 2/gr 7</t>
  </si>
  <si>
    <t>Confirmation Gr 7 &amp; 8</t>
  </si>
  <si>
    <t>Graduation Gr 8</t>
  </si>
  <si>
    <t>Departments</t>
  </si>
  <si>
    <t>Curriculum</t>
  </si>
  <si>
    <t>technology</t>
  </si>
  <si>
    <t>French Dept</t>
  </si>
  <si>
    <t>Agenda</t>
  </si>
  <si>
    <t>Music</t>
  </si>
  <si>
    <t>Council</t>
  </si>
  <si>
    <t>Administration</t>
  </si>
  <si>
    <t>Rebate</t>
  </si>
  <si>
    <t>Service Fees</t>
  </si>
  <si>
    <t>Other</t>
  </si>
  <si>
    <t>Snack Program</t>
  </si>
  <si>
    <t>Site Improvement</t>
  </si>
  <si>
    <t xml:space="preserve">Principal discretionary </t>
  </si>
  <si>
    <t>Student Support</t>
  </si>
  <si>
    <t>Ending Balance</t>
  </si>
  <si>
    <t>Team tournaments</t>
  </si>
  <si>
    <t xml:space="preserve">Athletics /clubs </t>
  </si>
  <si>
    <t>Dance Squad</t>
  </si>
  <si>
    <t>competition fee- kwanis</t>
  </si>
  <si>
    <t>competition fee- christ the king</t>
  </si>
  <si>
    <t>bus- kwanis</t>
  </si>
  <si>
    <t>bus- christ the king</t>
  </si>
  <si>
    <t>costume senior</t>
  </si>
  <si>
    <t>costume junior</t>
  </si>
  <si>
    <t>Volleyball boys</t>
  </si>
  <si>
    <t>tournaments</t>
  </si>
  <si>
    <t>Volleyball girls</t>
  </si>
  <si>
    <t>Basketball girls</t>
  </si>
  <si>
    <t>Soccer girls</t>
  </si>
  <si>
    <t>soccer boys</t>
  </si>
  <si>
    <t>Band</t>
  </si>
  <si>
    <t>Hockey</t>
  </si>
  <si>
    <t>ice</t>
  </si>
  <si>
    <t>player contribution</t>
  </si>
  <si>
    <t>dancer contributioncostume junior</t>
  </si>
  <si>
    <t>Team uniforms</t>
  </si>
  <si>
    <t>Grad</t>
  </si>
  <si>
    <t>student contribution</t>
  </si>
  <si>
    <t>council contribution</t>
  </si>
  <si>
    <t>1st Comm</t>
  </si>
  <si>
    <t>Confirmation</t>
  </si>
  <si>
    <t>Nutrition program</t>
  </si>
  <si>
    <t>bravo</t>
  </si>
  <si>
    <t>track meet bus</t>
  </si>
  <si>
    <t>faith revenue</t>
  </si>
  <si>
    <t>grad 8</t>
  </si>
  <si>
    <t xml:space="preserve">grad </t>
  </si>
  <si>
    <t>pizza</t>
  </si>
  <si>
    <t>music st john</t>
  </si>
  <si>
    <t>Clubs</t>
  </si>
  <si>
    <t xml:space="preserve">Christmas Social </t>
  </si>
  <si>
    <t>Nutrition Program</t>
  </si>
  <si>
    <t>Parent Engagement - coffee morning etc.</t>
  </si>
  <si>
    <t>Bravo Gr 6</t>
  </si>
  <si>
    <t>First Communion Gr 2</t>
  </si>
  <si>
    <t>Confirmation Gr 7</t>
  </si>
  <si>
    <t>Volunteer Appreciation</t>
  </si>
  <si>
    <t>Banners</t>
  </si>
  <si>
    <t>Liturgical/Faith development</t>
  </si>
  <si>
    <t>Special Events</t>
  </si>
  <si>
    <t>Arts Showcase</t>
  </si>
  <si>
    <t>Mathematics Evening</t>
  </si>
  <si>
    <t>Room &amp; Grade</t>
    <phoneticPr fontId="0" type="noConversion"/>
  </si>
  <si>
    <t>Cheese</t>
  </si>
  <si>
    <t>Pepperoni</t>
  </si>
  <si>
    <t>cookie</t>
  </si>
  <si>
    <t>TOTAL</t>
  </si>
  <si>
    <t>postdated</t>
  </si>
  <si>
    <t>101/gr 1/2 Beauchesne</t>
  </si>
  <si>
    <t>102/FDK B Fernandez</t>
  </si>
  <si>
    <t>103/FDK C Choong</t>
  </si>
  <si>
    <t>104/FDK A Schneider</t>
  </si>
  <si>
    <t>105/Gr2A Reaume</t>
  </si>
  <si>
    <t>106/Gr 3/4 Les</t>
  </si>
  <si>
    <t>107/Gr3 A Stankiewicz</t>
  </si>
  <si>
    <t>108/Gr 2/3 Zullo</t>
  </si>
  <si>
    <t>109/Gr2 B Macaluso</t>
  </si>
  <si>
    <t>110/Gr1 Belobradic</t>
  </si>
  <si>
    <t>201/Gr8  Thomas/Milanczak</t>
  </si>
  <si>
    <t>202/Gr8 EXT F Kastelic</t>
  </si>
  <si>
    <t>203/Gr5/6 Doherty</t>
  </si>
  <si>
    <t>204/Gr7 Blend C Pizzimenti</t>
  </si>
  <si>
    <t>205/Gr 7/8 Crew</t>
  </si>
  <si>
    <t xml:space="preserve">206/Gr8 Fr F A </t>
  </si>
  <si>
    <t>208/Gr5 French Thissen</t>
  </si>
  <si>
    <t>209/Gr5 Kennific</t>
  </si>
  <si>
    <t>210/Gr6 EXT F A Brzek</t>
  </si>
  <si>
    <t>211/Gr6  Knez</t>
  </si>
  <si>
    <t>212/Gr4A Cvetkovic</t>
  </si>
  <si>
    <t>Forum/Gr 6 Rosha</t>
  </si>
  <si>
    <t>PORT/ Gr 5 EXT F B Pare</t>
  </si>
  <si>
    <t>PORT/ Gr 5 EXT F A Shannon</t>
  </si>
  <si>
    <t>DAILY TOTAL</t>
  </si>
  <si>
    <t xml:space="preserve">sales </t>
  </si>
  <si>
    <t>pizza cost - check actual costs with office</t>
  </si>
  <si>
    <t xml:space="preserve">cookie cost - check actual cost with office </t>
  </si>
  <si>
    <t>projected revenue</t>
  </si>
  <si>
    <t>Pizza/Cookie Lunch</t>
  </si>
  <si>
    <t>Year Book</t>
  </si>
  <si>
    <t>Athletics &amp; Equipment</t>
  </si>
  <si>
    <t>Student Dances</t>
  </si>
  <si>
    <t>bus expense is picked up by other source of funds</t>
  </si>
  <si>
    <t>students pay for this</t>
  </si>
  <si>
    <t>Basketball boys</t>
  </si>
  <si>
    <t>School Generated Funds</t>
  </si>
  <si>
    <t>Presented to Catholic School Council on November 6, 2017</t>
  </si>
  <si>
    <t>2016 - 2017 Actuals vs. Budget</t>
  </si>
  <si>
    <t>SOURCE / Inflow</t>
  </si>
  <si>
    <t>USE / (Outflow)</t>
  </si>
  <si>
    <t>Inflow / (Outflow)</t>
  </si>
  <si>
    <t xml:space="preserve"> </t>
  </si>
  <si>
    <t>21st Century Learning</t>
  </si>
  <si>
    <t xml:space="preserve">Curriculum </t>
  </si>
  <si>
    <t>STEM</t>
  </si>
  <si>
    <t>Primary Council</t>
  </si>
  <si>
    <t>Dance a Thon</t>
  </si>
  <si>
    <t xml:space="preserve"># Pizzas Ordered </t>
  </si>
  <si>
    <t>price per pizza</t>
  </si>
  <si>
    <t>total cost</t>
  </si>
  <si>
    <t xml:space="preserve">pizza invoice per office </t>
  </si>
  <si>
    <t xml:space="preserve"># Cookies ordered </t>
  </si>
  <si>
    <t xml:space="preserve">price per cookie </t>
  </si>
  <si>
    <t xml:space="preserve">total cookie cost </t>
  </si>
  <si>
    <t xml:space="preserve">cookie invoice per office </t>
  </si>
  <si>
    <t>Week 1 - Sept 28</t>
  </si>
  <si>
    <t>Week 2 - Oct 5</t>
  </si>
  <si>
    <t>Week 3 - Oct 12</t>
  </si>
  <si>
    <t>Week 4- Oct 19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</si>
  <si>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</si>
  <si>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</si>
  <si>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</si>
  <si>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</si>
  <si>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</si>
  <si>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</si>
  <si>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</si>
  <si>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</si>
  <si>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</si>
  <si>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</si>
  <si>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</si>
  <si>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</si>
  <si>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</si>
  <si>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</si>
  <si>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</si>
  <si>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</si>
  <si>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</si>
  <si>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</si>
  <si>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</si>
  <si>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</si>
  <si>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</si>
  <si>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</si>
  <si>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</si>
  <si>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</si>
  <si>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</si>
  <si>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</si>
  <si>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</si>
  <si>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</si>
  <si>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</si>
  <si>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</si>
  <si>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</si>
  <si>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</si>
  <si>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</si>
  <si>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Total</t>
  </si>
  <si>
    <t>2017 - 2018 Actuals vs. Budget</t>
  </si>
  <si>
    <t>Jr Dance Squad</t>
  </si>
  <si>
    <t>Sr Dance Squad</t>
  </si>
  <si>
    <t>FDK Council</t>
  </si>
  <si>
    <t>Intermediate Council</t>
  </si>
  <si>
    <t>Junior Council</t>
  </si>
  <si>
    <t>Updated on June 27th</t>
  </si>
  <si>
    <t>Sept 1, 2017 to June 22 Report</t>
  </si>
  <si>
    <t>Games Night</t>
  </si>
  <si>
    <t>Library</t>
  </si>
  <si>
    <t>Comments</t>
  </si>
  <si>
    <t>close off</t>
  </si>
  <si>
    <t>reflect as $3,223 accrual for June pizza bill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</si>
</sst>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&quot;$&quot;* #,##0_);_(&quot;$&quot;* \(#,##0\);_(&quot;$&quot;* &quot;-&quot;??_);_(@_)"/>
    <numFmt numFmtId="166" formatCode="&quot;$&quot;#,##0.00"/>
  </numFmts>
  <fonts count="19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u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000080"/>
      <name val="Plantagenet Cherokee"/>
      <family val="1"/>
    </font>
    <font>
      <b/>
      <u/>
      <sz val="14"/>
      <name val="Arial"/>
      <family val="2"/>
    </font>
    <font>
      <b/>
      <u/>
      <sz val="12"/>
      <name val="Arial"/>
      <family val="2"/>
    </font>
    <font>
      <i/>
      <sz val="12"/>
      <name val="Arial"/>
      <family val="2"/>
    </font>
    <font>
      <sz val="12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165" fontId="0" fillId="0" borderId="0" xfId="2" applyNumberFormat="1" applyFont="1"/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" fillId="0" borderId="4" xfId="0" applyFont="1" applyBorder="1"/>
    <xf numFmtId="0" fontId="6" fillId="6" borderId="4" xfId="0" applyFont="1" applyFill="1" applyBorder="1"/>
    <xf numFmtId="166" fontId="4" fillId="0" borderId="0" xfId="0" applyNumberFormat="1" applyFont="1"/>
    <xf numFmtId="0" fontId="4" fillId="0" borderId="0" xfId="0" applyFont="1"/>
    <xf numFmtId="0" fontId="1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166" fontId="4" fillId="0" borderId="5" xfId="0" applyNumberFormat="1" applyFont="1" applyBorder="1"/>
    <xf numFmtId="166" fontId="4" fillId="0" borderId="4" xfId="0" applyNumberFormat="1" applyFont="1" applyBorder="1"/>
    <xf numFmtId="0" fontId="8" fillId="0" borderId="4" xfId="0" applyFont="1" applyBorder="1"/>
    <xf numFmtId="166" fontId="8" fillId="0" borderId="5" xfId="0" applyNumberFormat="1" applyFont="1" applyBorder="1"/>
    <xf numFmtId="166" fontId="8" fillId="0" borderId="4" xfId="0" applyNumberFormat="1" applyFont="1" applyBorder="1"/>
    <xf numFmtId="0" fontId="8" fillId="0" borderId="4" xfId="0" applyFont="1" applyFill="1" applyBorder="1"/>
    <xf numFmtId="166" fontId="8" fillId="0" borderId="5" xfId="0" applyNumberFormat="1" applyFont="1" applyFill="1" applyBorder="1"/>
    <xf numFmtId="166" fontId="8" fillId="0" borderId="4" xfId="0" applyNumberFormat="1" applyFont="1" applyFill="1" applyBorder="1"/>
    <xf numFmtId="0" fontId="8" fillId="6" borderId="4" xfId="0" applyFont="1" applyFill="1" applyBorder="1"/>
    <xf numFmtId="0" fontId="4" fillId="0" borderId="4" xfId="0" applyFont="1" applyBorder="1" applyAlignment="1"/>
    <xf numFmtId="0" fontId="4" fillId="7" borderId="4" xfId="0" applyFont="1" applyFill="1" applyBorder="1" applyAlignment="1">
      <alignment horizontal="left"/>
    </xf>
    <xf numFmtId="0" fontId="5" fillId="8" borderId="4" xfId="0" applyFont="1" applyFill="1" applyBorder="1" applyAlignment="1">
      <alignment horizontal="left"/>
    </xf>
    <xf numFmtId="0" fontId="8" fillId="8" borderId="4" xfId="0" applyFont="1" applyFill="1" applyBorder="1"/>
    <xf numFmtId="166" fontId="8" fillId="9" borderId="5" xfId="0" applyNumberFormat="1" applyFont="1" applyFill="1" applyBorder="1"/>
    <xf numFmtId="166" fontId="8" fillId="9" borderId="4" xfId="0" applyNumberFormat="1" applyFont="1" applyFill="1" applyBorder="1"/>
    <xf numFmtId="0" fontId="5" fillId="6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4" fillId="0" borderId="4" xfId="0" applyFont="1" applyBorder="1"/>
    <xf numFmtId="0" fontId="4" fillId="7" borderId="4" xfId="0" applyFont="1" applyFill="1" applyBorder="1"/>
    <xf numFmtId="166" fontId="9" fillId="0" borderId="0" xfId="0" applyNumberFormat="1" applyFont="1"/>
    <xf numFmtId="166" fontId="4" fillId="7" borderId="0" xfId="0" applyNumberFormat="1" applyFont="1" applyFill="1" applyBorder="1"/>
    <xf numFmtId="0" fontId="4" fillId="0" borderId="0" xfId="0" applyFont="1" applyAlignment="1">
      <alignment horizontal="left"/>
    </xf>
    <xf numFmtId="0" fontId="4" fillId="7" borderId="0" xfId="0" applyFont="1" applyFill="1" applyBorder="1"/>
    <xf numFmtId="0" fontId="4" fillId="6" borderId="0" xfId="0" applyFont="1" applyFill="1"/>
    <xf numFmtId="0" fontId="12" fillId="0" borderId="0" xfId="0" applyFont="1" applyAlignment="1">
      <alignment vertical="center"/>
    </xf>
    <xf numFmtId="165" fontId="0" fillId="0" borderId="0" xfId="2" applyNumberFormat="1" applyFont="1" applyFill="1"/>
    <xf numFmtId="165" fontId="0" fillId="10" borderId="0" xfId="2" applyNumberFormat="1" applyFont="1" applyFill="1"/>
    <xf numFmtId="165" fontId="0" fillId="5" borderId="0" xfId="2" applyNumberFormat="1" applyFont="1" applyFill="1"/>
    <xf numFmtId="0" fontId="13" fillId="0" borderId="0" xfId="0" applyFont="1"/>
    <xf numFmtId="0" fontId="6" fillId="0" borderId="0" xfId="0" applyFont="1"/>
    <xf numFmtId="0" fontId="5" fillId="0" borderId="0" xfId="0" applyFont="1"/>
    <xf numFmtId="165" fontId="6" fillId="0" borderId="0" xfId="2" applyNumberFormat="1" applyFont="1"/>
    <xf numFmtId="165" fontId="6" fillId="2" borderId="0" xfId="2" applyNumberFormat="1" applyFont="1" applyFill="1"/>
    <xf numFmtId="165" fontId="6" fillId="2" borderId="1" xfId="2" applyNumberFormat="1" applyFont="1" applyFill="1" applyBorder="1" applyAlignment="1">
      <alignment horizontal="center"/>
    </xf>
    <xf numFmtId="165" fontId="6" fillId="0" borderId="1" xfId="2" applyNumberFormat="1" applyFont="1" applyBorder="1" applyAlignment="1">
      <alignment horizontal="center"/>
    </xf>
    <xf numFmtId="0" fontId="14" fillId="0" borderId="0" xfId="0" applyFont="1"/>
    <xf numFmtId="165" fontId="6" fillId="0" borderId="0" xfId="2" applyNumberFormat="1" applyFont="1" applyAlignment="1">
      <alignment horizontal="center"/>
    </xf>
    <xf numFmtId="165" fontId="6" fillId="0" borderId="0" xfId="2" applyNumberFormat="1" applyFont="1" applyBorder="1"/>
    <xf numFmtId="165" fontId="6" fillId="2" borderId="0" xfId="2" applyNumberFormat="1" applyFont="1" applyFill="1" applyBorder="1"/>
    <xf numFmtId="165" fontId="6" fillId="0" borderId="0" xfId="2" applyNumberFormat="1" applyFont="1" applyBorder="1" applyAlignment="1">
      <alignment horizontal="center"/>
    </xf>
    <xf numFmtId="15" fontId="15" fillId="0" borderId="0" xfId="0" applyNumberFormat="1" applyFont="1"/>
    <xf numFmtId="165" fontId="6" fillId="0" borderId="1" xfId="2" applyNumberFormat="1" applyFont="1" applyBorder="1"/>
    <xf numFmtId="165" fontId="6" fillId="2" borderId="1" xfId="2" applyNumberFormat="1" applyFont="1" applyFill="1" applyBorder="1"/>
    <xf numFmtId="0" fontId="5" fillId="4" borderId="0" xfId="0" applyFont="1" applyFill="1"/>
    <xf numFmtId="165" fontId="5" fillId="4" borderId="0" xfId="2" applyNumberFormat="1" applyFont="1" applyFill="1"/>
    <xf numFmtId="0" fontId="5" fillId="0" borderId="0" xfId="0" applyFont="1" applyFill="1"/>
    <xf numFmtId="165" fontId="6" fillId="0" borderId="2" xfId="2" applyNumberFormat="1" applyFont="1" applyBorder="1"/>
    <xf numFmtId="165" fontId="6" fillId="2" borderId="2" xfId="2" applyNumberFormat="1" applyFont="1" applyFill="1" applyBorder="1"/>
    <xf numFmtId="165" fontId="6" fillId="0" borderId="0" xfId="2" applyNumberFormat="1" applyFont="1" applyFill="1" applyBorder="1"/>
    <xf numFmtId="165" fontId="6" fillId="0" borderId="2" xfId="2" applyNumberFormat="1" applyFont="1" applyFill="1" applyBorder="1"/>
    <xf numFmtId="165" fontId="6" fillId="0" borderId="0" xfId="0" applyNumberFormat="1" applyFont="1"/>
    <xf numFmtId="165" fontId="6" fillId="0" borderId="0" xfId="2" applyNumberFormat="1" applyFont="1" applyFill="1"/>
    <xf numFmtId="165" fontId="5" fillId="4" borderId="3" xfId="2" applyNumberFormat="1" applyFont="1" applyFill="1" applyBorder="1"/>
    <xf numFmtId="165" fontId="5" fillId="3" borderId="3" xfId="2" applyNumberFormat="1" applyFont="1" applyFill="1" applyBorder="1"/>
    <xf numFmtId="0" fontId="6" fillId="4" borderId="0" xfId="0" applyFont="1" applyFill="1"/>
    <xf numFmtId="165" fontId="6" fillId="4" borderId="0" xfId="2" applyNumberFormat="1" applyFont="1" applyFill="1"/>
    <xf numFmtId="165" fontId="6" fillId="0" borderId="4" xfId="2" applyNumberFormat="1" applyFont="1" applyBorder="1"/>
    <xf numFmtId="0" fontId="6" fillId="0" borderId="0" xfId="0" applyFont="1" applyAlignment="1">
      <alignment horizontal="right"/>
    </xf>
    <xf numFmtId="0" fontId="6" fillId="0" borderId="0" xfId="0" applyFont="1" applyFill="1" applyBorder="1"/>
    <xf numFmtId="15" fontId="5" fillId="0" borderId="0" xfId="0" applyNumberFormat="1" applyFont="1"/>
    <xf numFmtId="0" fontId="5" fillId="4" borderId="0" xfId="0" applyFont="1" applyFill="1" applyAlignment="1">
      <alignment horizontal="right"/>
    </xf>
    <xf numFmtId="165" fontId="5" fillId="0" borderId="0" xfId="2" applyNumberFormat="1" applyFont="1" applyFill="1" applyBorder="1"/>
    <xf numFmtId="0" fontId="5" fillId="0" borderId="0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165" fontId="6" fillId="0" borderId="0" xfId="2" applyNumberFormat="1" applyFont="1" applyBorder="1" applyAlignment="1">
      <alignment horizontal="center" vertical="center"/>
    </xf>
    <xf numFmtId="165" fontId="6" fillId="2" borderId="0" xfId="2" applyNumberFormat="1" applyFont="1" applyFill="1" applyBorder="1" applyAlignment="1">
      <alignment horizontal="center" vertical="center"/>
    </xf>
    <xf numFmtId="0" fontId="14" fillId="0" borderId="0" xfId="0" applyFont="1" applyFill="1"/>
    <xf numFmtId="44" fontId="6" fillId="0" borderId="0" xfId="2" applyFont="1" applyFill="1"/>
    <xf numFmtId="165" fontId="6" fillId="5" borderId="2" xfId="2" applyNumberFormat="1" applyFont="1" applyFill="1" applyBorder="1"/>
    <xf numFmtId="0" fontId="0" fillId="0" borderId="0" xfId="0" applyAlignment="1">
      <alignment horizontal="left"/>
    </xf>
    <xf numFmtId="6" fontId="0" fillId="0" borderId="0" xfId="0" applyNumberFormat="1"/>
    <xf numFmtId="0" fontId="1" fillId="0" borderId="0" xfId="0" applyFont="1"/>
    <xf numFmtId="166" fontId="0" fillId="0" borderId="0" xfId="0" applyNumberFormat="1"/>
    <xf numFmtId="166" fontId="3" fillId="10" borderId="0" xfId="2" applyNumberFormat="1" applyFont="1" applyFill="1"/>
    <xf numFmtId="166" fontId="0" fillId="5" borderId="0" xfId="0" applyNumberFormat="1" applyFill="1"/>
    <xf numFmtId="0" fontId="15" fillId="0" borderId="0" xfId="0" applyFont="1"/>
    <xf numFmtId="165" fontId="16" fillId="2" borderId="0" xfId="2" applyNumberFormat="1" applyFont="1" applyFill="1"/>
    <xf numFmtId="44" fontId="6" fillId="0" borderId="0" xfId="2" applyNumberFormat="1" applyFont="1"/>
    <xf numFmtId="164" fontId="6" fillId="0" borderId="0" xfId="6" applyFont="1"/>
    <xf numFmtId="165" fontId="5" fillId="0" borderId="1" xfId="2" applyNumberFormat="1" applyFont="1" applyBorder="1"/>
    <xf numFmtId="165" fontId="16" fillId="0" borderId="0" xfId="2" applyNumberFormat="1" applyFont="1"/>
  </cellXfs>
  <cellStyles count="7">
    <cellStyle name="Comma" xfId="6" builtinId="3"/>
    <cellStyle name="Comma 2" xfId="1" xr:uid="{00000000-0005-0000-0000-000001000000}"/>
    <cellStyle name="Currency" xfId="2" builtinId="4"/>
    <cellStyle name="Currency 2" xfId="3" xr:uid="{00000000-0005-0000-0000-000003000000}"/>
    <cellStyle name="Currency 3" xfId="4" xr:uid="{00000000-0005-0000-0000-000004000000}"/>
    <cellStyle name="Normal" xfId="0" builtinId="0"/>
    <cellStyle name="Normal 2" xfId="5" xr:uid="{00000000-0005-0000-0000-000006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1581151</xdr:colOff>
      <xdr:row>3</xdr:row>
      <xdr:rowOff>179399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370"/>
        <a:stretch/>
      </xdr:blipFill>
      <xdr:spPr>
        <a:xfrm>
          <a:off x="1" y="1"/>
          <a:ext cx="2914650" cy="7794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1914720</xdr:colOff>
      <xdr:row>4</xdr:row>
      <xdr:rowOff>126665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370"/>
        <a:stretch/>
      </xdr:blipFill>
      <xdr:spPr>
        <a:xfrm>
          <a:off x="1" y="0"/>
          <a:ext cx="2944974" cy="7875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KDAP14\OneDrive%20-%20Kellogg%20Company\Documents\Council\Pizza%20Program%202017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Rm 101"/>
      <sheetName val="Rm 102"/>
      <sheetName val="Rm 103"/>
      <sheetName val="Rm 104"/>
      <sheetName val="Rm 105 "/>
      <sheetName val="Rm 106"/>
      <sheetName val="Rm 107"/>
      <sheetName val="Rm108"/>
      <sheetName val="Rm 109"/>
      <sheetName val="Rm 110"/>
      <sheetName val="Rm 201"/>
      <sheetName val="Rm 202"/>
      <sheetName val="Rm 203"/>
      <sheetName val="Rm 204"/>
      <sheetName val="Rm 205"/>
      <sheetName val=" Rm 206 8FI"/>
      <sheetName val="Rm 208"/>
      <sheetName val="Rm 209"/>
      <sheetName val="Rm 210"/>
      <sheetName val="Rm 211"/>
      <sheetName val="Rm 212"/>
      <sheetName val="Rm PORTABLE 1"/>
      <sheetName val="Rm PORTABLE 2"/>
      <sheetName val="Rm PORTABLE 3"/>
      <sheetName val="FORUM"/>
      <sheetName val="names removed off main lisr"/>
      <sheetName val="Sheet1"/>
      <sheetName val="PLAY"/>
      <sheetName val="Classroom Count"/>
      <sheetName val="Sheet4"/>
      <sheetName val="Volunteers"/>
      <sheetName val="Cookie Order"/>
      <sheetName val="Pizza Order"/>
      <sheetName val="Martial Arts"/>
      <sheetName val="Martial Arts 2"/>
      <sheetName val="2017-2018 costs"/>
      <sheetName val="Sheet3"/>
      <sheetName val="Sheet5"/>
      <sheetName val="Sheet6"/>
    </sheetNames>
    <sheetDataSet>
      <sheetData sheetId="0"/>
      <sheetData sheetId="1">
        <row r="40">
          <cell r="B40">
            <v>18</v>
          </cell>
          <cell r="C40">
            <v>10</v>
          </cell>
          <cell r="D40">
            <v>12</v>
          </cell>
          <cell r="E40">
            <v>1628</v>
          </cell>
          <cell r="F40">
            <v>0</v>
          </cell>
        </row>
      </sheetData>
      <sheetData sheetId="2">
        <row r="38">
          <cell r="B38">
            <v>20</v>
          </cell>
          <cell r="C38">
            <v>12</v>
          </cell>
          <cell r="D38">
            <v>13</v>
          </cell>
          <cell r="E38">
            <v>2386.5</v>
          </cell>
          <cell r="F38">
            <v>0</v>
          </cell>
        </row>
      </sheetData>
      <sheetData sheetId="3">
        <row r="41">
          <cell r="B41">
            <v>15</v>
          </cell>
          <cell r="C41">
            <v>11</v>
          </cell>
          <cell r="D41">
            <v>14</v>
          </cell>
          <cell r="E41">
            <v>2035</v>
          </cell>
          <cell r="F41">
            <v>0</v>
          </cell>
        </row>
      </sheetData>
      <sheetData sheetId="4">
        <row r="33">
          <cell r="B33">
            <v>7</v>
          </cell>
          <cell r="C33">
            <v>11</v>
          </cell>
          <cell r="D33">
            <v>9</v>
          </cell>
          <cell r="E33">
            <v>1433.75</v>
          </cell>
          <cell r="F33">
            <v>0</v>
          </cell>
        </row>
      </sheetData>
      <sheetData sheetId="5">
        <row r="38">
          <cell r="B38">
            <v>13</v>
          </cell>
          <cell r="C38">
            <v>8</v>
          </cell>
          <cell r="D38">
            <v>9</v>
          </cell>
          <cell r="E38">
            <v>1590.95</v>
          </cell>
          <cell r="F38">
            <v>0</v>
          </cell>
        </row>
      </sheetData>
      <sheetData sheetId="6">
        <row r="40">
          <cell r="B40">
            <v>20</v>
          </cell>
          <cell r="C40">
            <v>11</v>
          </cell>
          <cell r="D40">
            <v>8</v>
          </cell>
          <cell r="E40">
            <v>2173.75</v>
          </cell>
          <cell r="F40">
            <v>0</v>
          </cell>
        </row>
      </sheetData>
      <sheetData sheetId="7">
        <row r="37">
          <cell r="B37">
            <v>20</v>
          </cell>
          <cell r="C37">
            <v>14</v>
          </cell>
          <cell r="D37">
            <v>12</v>
          </cell>
          <cell r="E37">
            <v>2312.5</v>
          </cell>
          <cell r="F37">
            <v>0</v>
          </cell>
        </row>
      </sheetData>
      <sheetData sheetId="8">
        <row r="40">
          <cell r="B40">
            <v>20</v>
          </cell>
          <cell r="C40">
            <v>4</v>
          </cell>
          <cell r="D40">
            <v>5</v>
          </cell>
          <cell r="E40">
            <v>1739</v>
          </cell>
          <cell r="F40">
            <v>0</v>
          </cell>
        </row>
      </sheetData>
      <sheetData sheetId="9">
        <row r="31">
          <cell r="B31">
            <v>12</v>
          </cell>
          <cell r="C31">
            <v>9</v>
          </cell>
          <cell r="D31">
            <v>12</v>
          </cell>
          <cell r="E31">
            <v>1739</v>
          </cell>
          <cell r="F31">
            <v>0</v>
          </cell>
        </row>
      </sheetData>
      <sheetData sheetId="10">
        <row r="35">
          <cell r="B35">
            <v>16</v>
          </cell>
          <cell r="C35">
            <v>6</v>
          </cell>
          <cell r="D35">
            <v>7</v>
          </cell>
          <cell r="E35">
            <v>1683.5</v>
          </cell>
          <cell r="F35">
            <v>0</v>
          </cell>
        </row>
      </sheetData>
      <sheetData sheetId="11">
        <row r="42">
          <cell r="C42">
            <v>12</v>
          </cell>
          <cell r="D42">
            <v>25</v>
          </cell>
          <cell r="E42">
            <v>10</v>
          </cell>
          <cell r="F42">
            <v>2368</v>
          </cell>
          <cell r="G42">
            <v>0</v>
          </cell>
        </row>
      </sheetData>
      <sheetData sheetId="12">
        <row r="41">
          <cell r="C41">
            <v>13</v>
          </cell>
          <cell r="D41">
            <v>22</v>
          </cell>
          <cell r="E41">
            <v>11</v>
          </cell>
          <cell r="F41">
            <v>2608.5</v>
          </cell>
          <cell r="G41">
            <v>0</v>
          </cell>
        </row>
      </sheetData>
      <sheetData sheetId="13">
        <row r="38">
          <cell r="C38">
            <v>12</v>
          </cell>
          <cell r="D38">
            <v>24</v>
          </cell>
          <cell r="E38">
            <v>10</v>
          </cell>
          <cell r="F38">
            <v>2136.75</v>
          </cell>
          <cell r="G38">
            <v>0</v>
          </cell>
        </row>
      </sheetData>
      <sheetData sheetId="14">
        <row r="38">
          <cell r="C38">
            <v>17</v>
          </cell>
          <cell r="D38">
            <v>25</v>
          </cell>
          <cell r="E38">
            <v>17</v>
          </cell>
          <cell r="F38">
            <v>3348.5</v>
          </cell>
          <cell r="G38">
            <v>0</v>
          </cell>
        </row>
      </sheetData>
      <sheetData sheetId="15">
        <row r="37">
          <cell r="C37">
            <v>11</v>
          </cell>
          <cell r="D37">
            <v>27</v>
          </cell>
          <cell r="E37">
            <v>14</v>
          </cell>
          <cell r="F37">
            <v>2941.5</v>
          </cell>
          <cell r="G37">
            <v>0</v>
          </cell>
        </row>
      </sheetData>
      <sheetData sheetId="16">
        <row r="39">
          <cell r="C39">
            <v>18</v>
          </cell>
          <cell r="D39">
            <v>19</v>
          </cell>
          <cell r="E39">
            <v>7</v>
          </cell>
          <cell r="F39">
            <v>2654.5</v>
          </cell>
          <cell r="G39">
            <v>0</v>
          </cell>
        </row>
      </sheetData>
      <sheetData sheetId="17">
        <row r="35">
          <cell r="C35">
            <v>15</v>
          </cell>
          <cell r="D35">
            <v>12</v>
          </cell>
          <cell r="E35">
            <v>7</v>
          </cell>
          <cell r="F35">
            <v>2007</v>
          </cell>
          <cell r="G35">
            <v>0</v>
          </cell>
        </row>
      </sheetData>
      <sheetData sheetId="18">
        <row r="35">
          <cell r="B35">
            <v>12</v>
          </cell>
          <cell r="C35">
            <v>15</v>
          </cell>
          <cell r="D35">
            <v>12</v>
          </cell>
          <cell r="E35">
            <v>2192.25</v>
          </cell>
          <cell r="F35">
            <v>0</v>
          </cell>
        </row>
      </sheetData>
      <sheetData sheetId="19">
        <row r="37">
          <cell r="C37">
            <v>23</v>
          </cell>
          <cell r="D37">
            <v>23</v>
          </cell>
          <cell r="E37">
            <v>13</v>
          </cell>
          <cell r="F37">
            <v>3496.5</v>
          </cell>
          <cell r="G37">
            <v>0</v>
          </cell>
        </row>
      </sheetData>
      <sheetData sheetId="20">
        <row r="40">
          <cell r="B40">
            <v>12</v>
          </cell>
          <cell r="C40">
            <v>28</v>
          </cell>
          <cell r="D40">
            <v>7</v>
          </cell>
          <cell r="E40">
            <v>2719.5</v>
          </cell>
          <cell r="F40">
            <v>0</v>
          </cell>
        </row>
      </sheetData>
      <sheetData sheetId="21">
        <row r="38">
          <cell r="B38">
            <v>21</v>
          </cell>
          <cell r="C38">
            <v>22</v>
          </cell>
          <cell r="D38">
            <v>13</v>
          </cell>
          <cell r="E38">
            <v>3265.25</v>
          </cell>
          <cell r="F38">
            <v>0</v>
          </cell>
        </row>
      </sheetData>
      <sheetData sheetId="22">
        <row r="38">
          <cell r="B38">
            <v>10</v>
          </cell>
          <cell r="C38">
            <v>17</v>
          </cell>
          <cell r="D38">
            <v>9</v>
          </cell>
          <cell r="E38">
            <v>2081.25</v>
          </cell>
          <cell r="F38">
            <v>0</v>
          </cell>
        </row>
      </sheetData>
      <sheetData sheetId="23">
        <row r="34">
          <cell r="B34">
            <v>15</v>
          </cell>
          <cell r="C34">
            <v>12</v>
          </cell>
          <cell r="D34">
            <v>11</v>
          </cell>
          <cell r="E34">
            <v>1988.75</v>
          </cell>
          <cell r="F34">
            <v>0</v>
          </cell>
        </row>
      </sheetData>
      <sheetData sheetId="24"/>
      <sheetData sheetId="25">
        <row r="39">
          <cell r="B39">
            <v>11</v>
          </cell>
          <cell r="C39">
            <v>30</v>
          </cell>
          <cell r="D39">
            <v>15</v>
          </cell>
          <cell r="E39">
            <v>2747.25</v>
          </cell>
          <cell r="F39">
            <v>0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2">
          <cell r="D42">
            <v>29272</v>
          </cell>
        </row>
      </sheetData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0"/>
  <sheetViews>
    <sheetView workbookViewId="0">
      <pane xSplit="4" ySplit="8" topLeftCell="E16" activePane="bottomRight" state="frozen"/>
      <selection activeCell="B23" sqref="B23"/>
      <selection pane="topRight" activeCell="B23" sqref="B23"/>
      <selection pane="bottomLeft" activeCell="B23" sqref="B23"/>
      <selection pane="bottomRight" activeCell="B63" sqref="B63"/>
    </sheetView>
  </sheetViews>
  <sheetFormatPr defaultColWidth="8.85546875" defaultRowHeight="15" x14ac:dyDescent="0.2"/>
  <cols>
    <col min="1" max="1" width="20" style="40" customWidth="1"/>
    <col min="2" max="2" width="35" style="40" customWidth="1"/>
    <col min="3" max="3" width="7.140625" style="40" customWidth="1"/>
    <col min="4" max="4" width="2.42578125" style="42" customWidth="1"/>
    <col min="5" max="6" width="18.28515625" style="43" customWidth="1"/>
    <col min="7" max="7" width="18.28515625" style="42" customWidth="1"/>
    <col min="8" max="8" width="4.42578125" style="42" customWidth="1"/>
    <col min="9" max="10" width="18.28515625" style="43" customWidth="1"/>
    <col min="11" max="11" width="18.28515625" style="42" customWidth="1"/>
    <col min="12" max="12" width="3.42578125" style="42" customWidth="1"/>
    <col min="13" max="15" width="18.28515625" style="42" customWidth="1"/>
    <col min="16" max="16" width="2" style="42" customWidth="1"/>
    <col min="17" max="16384" width="8.85546875" style="40"/>
  </cols>
  <sheetData>
    <row r="1" spans="1:16" ht="15.75" x14ac:dyDescent="0.25">
      <c r="B1" s="41"/>
    </row>
    <row r="2" spans="1:16" ht="15.75" x14ac:dyDescent="0.25">
      <c r="B2" s="41"/>
    </row>
    <row r="3" spans="1:16" ht="15.75" x14ac:dyDescent="0.25">
      <c r="B3" s="41"/>
    </row>
    <row r="4" spans="1:16" ht="15.75" x14ac:dyDescent="0.25">
      <c r="B4" s="41"/>
    </row>
    <row r="5" spans="1:16" ht="16.5" thickBot="1" x14ac:dyDescent="0.3">
      <c r="A5" s="41"/>
      <c r="E5" s="44" t="s">
        <v>0</v>
      </c>
      <c r="F5" s="44" t="s">
        <v>0</v>
      </c>
      <c r="G5" s="45" t="s">
        <v>0</v>
      </c>
      <c r="I5" s="44" t="s">
        <v>1</v>
      </c>
      <c r="J5" s="44" t="s">
        <v>1</v>
      </c>
      <c r="K5" s="45" t="s">
        <v>1</v>
      </c>
      <c r="M5" s="45" t="s">
        <v>2</v>
      </c>
      <c r="N5" s="45" t="s">
        <v>2</v>
      </c>
      <c r="O5" s="45" t="s">
        <v>2</v>
      </c>
    </row>
    <row r="6" spans="1:16" ht="18" x14ac:dyDescent="0.25">
      <c r="A6" s="39" t="s">
        <v>148</v>
      </c>
      <c r="M6" s="47" t="s">
        <v>3</v>
      </c>
      <c r="N6" s="47" t="s">
        <v>4</v>
      </c>
      <c r="O6" s="48" t="s">
        <v>5</v>
      </c>
    </row>
    <row r="7" spans="1:16" ht="15.75" x14ac:dyDescent="0.25">
      <c r="A7" s="41" t="s">
        <v>146</v>
      </c>
      <c r="D7" s="48"/>
      <c r="E7" s="49" t="s">
        <v>149</v>
      </c>
      <c r="F7" s="49" t="s">
        <v>150</v>
      </c>
      <c r="G7" s="48" t="s">
        <v>5</v>
      </c>
      <c r="H7" s="48"/>
      <c r="I7" s="49" t="s">
        <v>149</v>
      </c>
      <c r="J7" s="49" t="s">
        <v>150</v>
      </c>
      <c r="K7" s="48" t="s">
        <v>5</v>
      </c>
      <c r="L7" s="48"/>
      <c r="M7" s="50" t="s">
        <v>8</v>
      </c>
      <c r="N7" s="50" t="s">
        <v>8</v>
      </c>
      <c r="O7" s="50" t="s">
        <v>8</v>
      </c>
      <c r="P7" s="48"/>
    </row>
    <row r="8" spans="1:16" ht="15.75" thickBot="1" x14ac:dyDescent="0.25">
      <c r="A8" s="51" t="s">
        <v>147</v>
      </c>
      <c r="D8" s="52"/>
      <c r="E8" s="53"/>
      <c r="F8" s="53"/>
      <c r="G8" s="52" t="s">
        <v>9</v>
      </c>
      <c r="H8" s="52"/>
      <c r="I8" s="53"/>
      <c r="J8" s="53"/>
      <c r="K8" s="52" t="s">
        <v>9</v>
      </c>
      <c r="L8" s="52"/>
      <c r="M8" s="45" t="s">
        <v>10</v>
      </c>
      <c r="N8" s="45" t="s">
        <v>10</v>
      </c>
      <c r="O8" s="45" t="s">
        <v>11</v>
      </c>
      <c r="P8" s="52"/>
    </row>
    <row r="10" spans="1:16" s="56" customFormat="1" ht="15.75" x14ac:dyDescent="0.25">
      <c r="A10" s="54" t="s">
        <v>12</v>
      </c>
      <c r="B10" s="54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2" spans="1:16" ht="15.75" x14ac:dyDescent="0.25">
      <c r="A12" s="41" t="s">
        <v>13</v>
      </c>
      <c r="D12" s="57"/>
      <c r="E12" s="58">
        <v>0</v>
      </c>
      <c r="F12" s="58">
        <v>0</v>
      </c>
      <c r="G12" s="57">
        <f>SUM(D12:F12)</f>
        <v>0</v>
      </c>
      <c r="H12" s="57"/>
      <c r="I12" s="58">
        <v>0</v>
      </c>
      <c r="J12" s="58"/>
      <c r="K12" s="57">
        <f>SUM(I12:J12)</f>
        <v>0</v>
      </c>
      <c r="L12" s="57"/>
      <c r="M12" s="57">
        <f>E12-I12</f>
        <v>0</v>
      </c>
      <c r="N12" s="57">
        <f>F12-J12</f>
        <v>0</v>
      </c>
      <c r="O12" s="57">
        <f>G12-K12</f>
        <v>0</v>
      </c>
      <c r="P12" s="57"/>
    </row>
    <row r="13" spans="1:16" ht="15.75" x14ac:dyDescent="0.25">
      <c r="A13" s="41"/>
    </row>
    <row r="14" spans="1:16" ht="15.75" x14ac:dyDescent="0.25">
      <c r="A14" s="41" t="s">
        <v>14</v>
      </c>
      <c r="C14" s="40">
        <v>1620</v>
      </c>
      <c r="D14" s="57"/>
      <c r="E14" s="58">
        <v>0</v>
      </c>
      <c r="F14" s="58">
        <v>0</v>
      </c>
      <c r="G14" s="57">
        <f>SUM(E14:F14)</f>
        <v>0</v>
      </c>
      <c r="H14" s="57"/>
      <c r="I14" s="58">
        <v>0</v>
      </c>
      <c r="J14" s="58"/>
      <c r="K14" s="57">
        <f>SUM(I14:J14)</f>
        <v>0</v>
      </c>
      <c r="L14" s="57"/>
      <c r="M14" s="57">
        <f>E14-I14</f>
        <v>0</v>
      </c>
      <c r="N14" s="57">
        <f>F14-J14</f>
        <v>0</v>
      </c>
      <c r="O14" s="57">
        <f>G14-K14</f>
        <v>0</v>
      </c>
      <c r="P14" s="57"/>
    </row>
    <row r="15" spans="1:16" ht="15.75" x14ac:dyDescent="0.25">
      <c r="A15" s="41"/>
    </row>
    <row r="16" spans="1:16" ht="15.75" x14ac:dyDescent="0.25">
      <c r="A16" s="41" t="s">
        <v>15</v>
      </c>
    </row>
    <row r="17" spans="1:16" x14ac:dyDescent="0.2">
      <c r="B17" s="40" t="s">
        <v>16</v>
      </c>
      <c r="C17" s="40">
        <v>1612</v>
      </c>
      <c r="E17" s="43">
        <f>717.5+963.05+2417.13+457.5</f>
        <v>4555.18</v>
      </c>
      <c r="F17" s="43">
        <f>-820-2554.56-147.35-849.76</f>
        <v>-4371.67</v>
      </c>
      <c r="G17" s="42">
        <f t="shared" ref="G17:G23" si="0">SUM(D17:F17)</f>
        <v>183.51000000000022</v>
      </c>
      <c r="I17" s="43">
        <v>1800</v>
      </c>
      <c r="J17" s="43">
        <v>-1800</v>
      </c>
      <c r="K17" s="42">
        <f t="shared" ref="K17:K23" si="1">SUM(I17:J17)</f>
        <v>0</v>
      </c>
      <c r="M17" s="42">
        <f t="shared" ref="M17:O23" si="2">E17-I17</f>
        <v>2755.1800000000003</v>
      </c>
      <c r="N17" s="42">
        <f t="shared" si="2"/>
        <v>-2571.67</v>
      </c>
      <c r="O17" s="48">
        <f t="shared" si="2"/>
        <v>183.51000000000022</v>
      </c>
    </row>
    <row r="18" spans="1:16" x14ac:dyDescent="0.2">
      <c r="B18" s="40" t="s">
        <v>17</v>
      </c>
      <c r="C18" s="40">
        <v>1613</v>
      </c>
      <c r="E18" s="43">
        <v>639.73</v>
      </c>
      <c r="F18" s="43">
        <v>-292.61</v>
      </c>
      <c r="G18" s="42">
        <f t="shared" si="0"/>
        <v>347.12</v>
      </c>
      <c r="I18" s="43">
        <v>0</v>
      </c>
      <c r="J18" s="43">
        <v>0</v>
      </c>
      <c r="K18" s="42">
        <f t="shared" si="1"/>
        <v>0</v>
      </c>
      <c r="M18" s="42">
        <f t="shared" si="2"/>
        <v>639.73</v>
      </c>
      <c r="N18" s="42">
        <f t="shared" si="2"/>
        <v>-292.61</v>
      </c>
      <c r="O18" s="48">
        <f t="shared" si="2"/>
        <v>347.12</v>
      </c>
    </row>
    <row r="19" spans="1:16" x14ac:dyDescent="0.2">
      <c r="B19" s="40" t="s">
        <v>58</v>
      </c>
      <c r="C19" s="40">
        <v>1616</v>
      </c>
      <c r="E19" s="43">
        <f>761.3+200+44.8</f>
        <v>1006.0999999999999</v>
      </c>
      <c r="F19" s="43">
        <f>-635-360-810-71.5-40-150-150-135.6</f>
        <v>-2352.1</v>
      </c>
      <c r="G19" s="42">
        <f t="shared" si="0"/>
        <v>-1346</v>
      </c>
      <c r="I19" s="43">
        <v>0</v>
      </c>
      <c r="J19" s="43">
        <v>-1300</v>
      </c>
      <c r="K19" s="42">
        <f t="shared" si="1"/>
        <v>-1300</v>
      </c>
      <c r="M19" s="42">
        <f t="shared" si="2"/>
        <v>1006.0999999999999</v>
      </c>
      <c r="N19" s="42">
        <f t="shared" si="2"/>
        <v>-1052.0999999999999</v>
      </c>
      <c r="O19" s="48">
        <f t="shared" si="2"/>
        <v>-46</v>
      </c>
    </row>
    <row r="20" spans="1:16" x14ac:dyDescent="0.2">
      <c r="B20" s="40" t="s">
        <v>18</v>
      </c>
      <c r="C20" s="40">
        <v>1616</v>
      </c>
      <c r="E20" s="43">
        <f>1040+65+65</f>
        <v>1170</v>
      </c>
      <c r="F20" s="43">
        <f>-400-770</f>
        <v>-1170</v>
      </c>
      <c r="G20" s="42">
        <f t="shared" si="0"/>
        <v>0</v>
      </c>
      <c r="I20" s="43">
        <v>850</v>
      </c>
      <c r="J20" s="43">
        <v>-1500</v>
      </c>
      <c r="K20" s="42">
        <f t="shared" si="1"/>
        <v>-650</v>
      </c>
      <c r="M20" s="42">
        <f t="shared" si="2"/>
        <v>320</v>
      </c>
      <c r="N20" s="42">
        <f t="shared" si="2"/>
        <v>330</v>
      </c>
      <c r="O20" s="48">
        <f t="shared" si="2"/>
        <v>650</v>
      </c>
    </row>
    <row r="21" spans="1:16" x14ac:dyDescent="0.2">
      <c r="B21" s="40" t="s">
        <v>19</v>
      </c>
      <c r="C21" s="40">
        <v>1616</v>
      </c>
      <c r="E21" s="43">
        <f>300+27.94</f>
        <v>327.94</v>
      </c>
      <c r="F21" s="43">
        <f>-282.5-526</f>
        <v>-808.5</v>
      </c>
      <c r="G21" s="42">
        <f t="shared" si="0"/>
        <v>-480.56</v>
      </c>
      <c r="I21" s="43">
        <f>1800-1800</f>
        <v>0</v>
      </c>
      <c r="J21" s="43">
        <f>-3350+1800</f>
        <v>-1550</v>
      </c>
      <c r="K21" s="42">
        <f t="shared" si="1"/>
        <v>-1550</v>
      </c>
      <c r="M21" s="42">
        <f t="shared" si="2"/>
        <v>327.94</v>
      </c>
      <c r="N21" s="42">
        <f t="shared" si="2"/>
        <v>741.5</v>
      </c>
      <c r="O21" s="48">
        <f t="shared" si="2"/>
        <v>1069.44</v>
      </c>
    </row>
    <row r="22" spans="1:16" x14ac:dyDescent="0.2">
      <c r="B22" s="40" t="s">
        <v>20</v>
      </c>
      <c r="C22" s="40">
        <v>2502</v>
      </c>
      <c r="E22" s="43">
        <v>0</v>
      </c>
      <c r="F22" s="43">
        <v>0</v>
      </c>
      <c r="G22" s="42">
        <f t="shared" si="0"/>
        <v>0</v>
      </c>
      <c r="K22" s="42">
        <f t="shared" si="1"/>
        <v>0</v>
      </c>
      <c r="M22" s="42">
        <f t="shared" si="2"/>
        <v>0</v>
      </c>
      <c r="N22" s="42">
        <f t="shared" si="2"/>
        <v>0</v>
      </c>
      <c r="O22" s="48">
        <f t="shared" si="2"/>
        <v>0</v>
      </c>
    </row>
    <row r="23" spans="1:16" x14ac:dyDescent="0.2">
      <c r="B23" s="40" t="s">
        <v>21</v>
      </c>
      <c r="C23" s="40">
        <v>1618</v>
      </c>
      <c r="E23" s="43">
        <f>963.65+314.71</f>
        <v>1278.3599999999999</v>
      </c>
      <c r="F23" s="43">
        <v>-2567.6799999999998</v>
      </c>
      <c r="G23" s="42">
        <f t="shared" si="0"/>
        <v>-1289.32</v>
      </c>
      <c r="I23" s="43">
        <v>0</v>
      </c>
      <c r="J23" s="43">
        <v>-1000</v>
      </c>
      <c r="K23" s="42">
        <f t="shared" si="1"/>
        <v>-1000</v>
      </c>
      <c r="M23" s="42">
        <f t="shared" si="2"/>
        <v>1278.3599999999999</v>
      </c>
      <c r="N23" s="42">
        <f t="shared" si="2"/>
        <v>-1567.6799999999998</v>
      </c>
      <c r="O23" s="48">
        <f t="shared" si="2"/>
        <v>-289.31999999999994</v>
      </c>
    </row>
    <row r="24" spans="1:16" x14ac:dyDescent="0.2">
      <c r="D24" s="57"/>
      <c r="E24" s="58">
        <f>SUM(E17:E23)</f>
        <v>8977.31</v>
      </c>
      <c r="F24" s="58">
        <f>SUM(F17:F23)</f>
        <v>-11562.56</v>
      </c>
      <c r="G24" s="57">
        <f>SUM(G17:G23)</f>
        <v>-2585.25</v>
      </c>
      <c r="H24" s="57"/>
      <c r="I24" s="58">
        <f>SUM(I17:I23)</f>
        <v>2650</v>
      </c>
      <c r="J24" s="58">
        <f>SUM(J17:J23)</f>
        <v>-7150</v>
      </c>
      <c r="K24" s="57">
        <f>SUM(K17:K23)</f>
        <v>-4500</v>
      </c>
      <c r="L24" s="57"/>
      <c r="M24" s="57">
        <f>SUM(M17:M23)</f>
        <v>6327.3099999999995</v>
      </c>
      <c r="N24" s="57">
        <f>SUM(N17:N23)</f>
        <v>-4412.5599999999995</v>
      </c>
      <c r="O24" s="57">
        <f>SUM(O17:O23)</f>
        <v>1914.7500000000002</v>
      </c>
      <c r="P24" s="57"/>
    </row>
    <row r="26" spans="1:16" ht="15.75" x14ac:dyDescent="0.25">
      <c r="A26" s="41" t="s">
        <v>22</v>
      </c>
    </row>
    <row r="27" spans="1:16" x14ac:dyDescent="0.2">
      <c r="B27" s="40" t="s">
        <v>23</v>
      </c>
      <c r="C27" s="40">
        <v>4501</v>
      </c>
      <c r="E27" s="43">
        <f>17280+147.35+500</f>
        <v>17927.349999999999</v>
      </c>
      <c r="F27" s="43">
        <v>-77.42</v>
      </c>
      <c r="G27" s="42">
        <f>SUM(D27:F27)</f>
        <v>17849.93</v>
      </c>
      <c r="I27" s="43">
        <v>17000</v>
      </c>
      <c r="J27" s="43">
        <v>0</v>
      </c>
      <c r="K27" s="42">
        <f>SUM(I27:J27)</f>
        <v>17000</v>
      </c>
      <c r="M27" s="42">
        <f t="shared" ref="M27:O29" si="3">E27-I27</f>
        <v>927.34999999999854</v>
      </c>
      <c r="N27" s="42">
        <f t="shared" si="3"/>
        <v>-77.42</v>
      </c>
      <c r="O27" s="48">
        <f t="shared" si="3"/>
        <v>849.93000000000029</v>
      </c>
    </row>
    <row r="28" spans="1:16" x14ac:dyDescent="0.2">
      <c r="B28" s="40" t="s">
        <v>24</v>
      </c>
      <c r="C28" s="40">
        <v>5501</v>
      </c>
      <c r="E28" s="43">
        <v>53315.98</v>
      </c>
      <c r="F28" s="43">
        <f>-26798.97-2595.56-818.1-34.06</f>
        <v>-30246.690000000002</v>
      </c>
      <c r="G28" s="42">
        <f>SUM(D28:F28)</f>
        <v>23069.29</v>
      </c>
      <c r="I28" s="43">
        <v>52000</v>
      </c>
      <c r="J28" s="43">
        <v>-32000</v>
      </c>
      <c r="K28" s="42">
        <f>SUM(I28:J28)</f>
        <v>20000</v>
      </c>
      <c r="M28" s="42">
        <f t="shared" si="3"/>
        <v>1315.9800000000032</v>
      </c>
      <c r="N28" s="42">
        <f t="shared" si="3"/>
        <v>1753.3099999999977</v>
      </c>
      <c r="O28" s="59">
        <f t="shared" si="3"/>
        <v>3069.2900000000009</v>
      </c>
    </row>
    <row r="29" spans="1:16" x14ac:dyDescent="0.2">
      <c r="B29" s="40" t="s">
        <v>25</v>
      </c>
      <c r="C29" s="40">
        <v>5502</v>
      </c>
      <c r="E29" s="43">
        <v>0</v>
      </c>
      <c r="F29" s="43">
        <v>0</v>
      </c>
      <c r="G29" s="42">
        <f>SUM(D29:F29)</f>
        <v>0</v>
      </c>
      <c r="I29" s="43">
        <v>0</v>
      </c>
      <c r="J29" s="43">
        <v>0</v>
      </c>
      <c r="K29" s="42">
        <f>SUM(I29:J29)</f>
        <v>0</v>
      </c>
      <c r="M29" s="42">
        <f t="shared" si="3"/>
        <v>0</v>
      </c>
      <c r="N29" s="42">
        <f t="shared" si="3"/>
        <v>0</v>
      </c>
      <c r="O29" s="48">
        <f t="shared" si="3"/>
        <v>0</v>
      </c>
    </row>
    <row r="30" spans="1:16" x14ac:dyDescent="0.2">
      <c r="D30" s="57"/>
      <c r="E30" s="58">
        <f>SUM(E27:E29)</f>
        <v>71243.33</v>
      </c>
      <c r="F30" s="58">
        <f>SUM(F27:F29)</f>
        <v>-30324.11</v>
      </c>
      <c r="G30" s="60">
        <f>SUM(G27:G29)</f>
        <v>40919.22</v>
      </c>
      <c r="H30" s="60"/>
      <c r="I30" s="58">
        <f>SUM(I27:I29)</f>
        <v>69000</v>
      </c>
      <c r="J30" s="58">
        <f>SUM(J27:J29)</f>
        <v>-32000</v>
      </c>
      <c r="K30" s="60">
        <f>SUM(K27:K29)</f>
        <v>37000</v>
      </c>
      <c r="L30" s="57"/>
      <c r="M30" s="57">
        <f>SUM(M27:M29)</f>
        <v>2243.3300000000017</v>
      </c>
      <c r="N30" s="57">
        <f>SUM(N27:N29)</f>
        <v>1675.8899999999976</v>
      </c>
      <c r="O30" s="57">
        <f>SUM(O27:O29)</f>
        <v>3919.2200000000012</v>
      </c>
      <c r="P30" s="57"/>
    </row>
    <row r="32" spans="1:16" ht="15.75" x14ac:dyDescent="0.25">
      <c r="A32" s="41" t="s">
        <v>26</v>
      </c>
    </row>
    <row r="33" spans="1:16" x14ac:dyDescent="0.2">
      <c r="B33" s="40" t="s">
        <v>27</v>
      </c>
      <c r="C33" s="40">
        <v>1516</v>
      </c>
      <c r="E33" s="43">
        <v>0</v>
      </c>
      <c r="F33" s="43">
        <v>0</v>
      </c>
      <c r="G33" s="42">
        <f t="shared" ref="G33:G45" si="4">SUM(D33:F33)</f>
        <v>0</v>
      </c>
      <c r="I33" s="43">
        <v>0</v>
      </c>
      <c r="J33" s="43">
        <v>0</v>
      </c>
      <c r="K33" s="42">
        <f t="shared" ref="K33:K41" si="5">SUM(I33:J33)</f>
        <v>0</v>
      </c>
      <c r="M33" s="42">
        <f t="shared" ref="M33:M45" si="6">E33-I33</f>
        <v>0</v>
      </c>
      <c r="N33" s="42">
        <f t="shared" ref="N33:N45" si="7">F33-J33</f>
        <v>0</v>
      </c>
      <c r="O33" s="42">
        <f t="shared" ref="O33:O45" si="8">SUM(L33:N33)</f>
        <v>0</v>
      </c>
    </row>
    <row r="34" spans="1:16" x14ac:dyDescent="0.2">
      <c r="B34" s="40" t="s">
        <v>28</v>
      </c>
      <c r="C34" s="40">
        <v>1601</v>
      </c>
      <c r="E34" s="43">
        <v>0</v>
      </c>
      <c r="F34" s="43">
        <v>-62.15</v>
      </c>
      <c r="G34" s="42">
        <f t="shared" si="4"/>
        <v>-62.15</v>
      </c>
      <c r="I34" s="43">
        <v>0</v>
      </c>
      <c r="J34" s="43">
        <v>-700</v>
      </c>
      <c r="K34" s="42">
        <f t="shared" si="5"/>
        <v>-700</v>
      </c>
      <c r="M34" s="42">
        <f t="shared" si="6"/>
        <v>0</v>
      </c>
      <c r="N34" s="42">
        <f t="shared" si="7"/>
        <v>637.85</v>
      </c>
      <c r="O34" s="42">
        <f t="shared" si="8"/>
        <v>637.85</v>
      </c>
    </row>
    <row r="35" spans="1:16" x14ac:dyDescent="0.2">
      <c r="B35" s="40" t="s">
        <v>29</v>
      </c>
      <c r="C35" s="40">
        <v>1617</v>
      </c>
      <c r="E35" s="43">
        <v>0</v>
      </c>
      <c r="F35" s="43">
        <f>-334.36-152.97</f>
        <v>-487.33000000000004</v>
      </c>
      <c r="G35" s="42">
        <f t="shared" si="4"/>
        <v>-487.33000000000004</v>
      </c>
      <c r="I35" s="43">
        <v>1000</v>
      </c>
      <c r="J35" s="43">
        <v>-1500</v>
      </c>
      <c r="K35" s="42">
        <f t="shared" si="5"/>
        <v>-500</v>
      </c>
      <c r="M35" s="42">
        <f t="shared" si="6"/>
        <v>-1000</v>
      </c>
      <c r="N35" s="42">
        <f t="shared" si="7"/>
        <v>1012.67</v>
      </c>
      <c r="O35" s="42">
        <f t="shared" si="8"/>
        <v>12.669999999999959</v>
      </c>
    </row>
    <row r="36" spans="1:16" x14ac:dyDescent="0.2">
      <c r="B36" s="40" t="s">
        <v>30</v>
      </c>
      <c r="C36" s="40">
        <v>1517</v>
      </c>
      <c r="E36" s="43">
        <v>0</v>
      </c>
      <c r="F36" s="43">
        <v>-224.91</v>
      </c>
      <c r="G36" s="42">
        <f t="shared" si="4"/>
        <v>-224.91</v>
      </c>
      <c r="I36" s="43">
        <v>0</v>
      </c>
      <c r="J36" s="43">
        <v>-200</v>
      </c>
      <c r="K36" s="42">
        <f t="shared" si="5"/>
        <v>-200</v>
      </c>
      <c r="M36" s="42">
        <f t="shared" si="6"/>
        <v>0</v>
      </c>
      <c r="N36" s="42">
        <f t="shared" si="7"/>
        <v>-24.909999999999997</v>
      </c>
      <c r="O36" s="42">
        <f t="shared" si="8"/>
        <v>-24.909999999999997</v>
      </c>
    </row>
    <row r="37" spans="1:16" x14ac:dyDescent="0.2">
      <c r="A37" s="61"/>
      <c r="B37" s="40" t="s">
        <v>31</v>
      </c>
      <c r="C37" s="40">
        <v>1600</v>
      </c>
      <c r="E37" s="43">
        <v>400.75</v>
      </c>
      <c r="F37" s="43">
        <v>-1026</v>
      </c>
      <c r="G37" s="62">
        <f t="shared" si="4"/>
        <v>-625.25</v>
      </c>
      <c r="I37" s="43">
        <v>0</v>
      </c>
      <c r="J37" s="43">
        <v>-550</v>
      </c>
      <c r="K37" s="42">
        <f t="shared" si="5"/>
        <v>-550</v>
      </c>
      <c r="M37" s="42">
        <f t="shared" si="6"/>
        <v>400.75</v>
      </c>
      <c r="N37" s="42">
        <f t="shared" si="7"/>
        <v>-476</v>
      </c>
      <c r="O37" s="42">
        <f t="shared" si="8"/>
        <v>-75.25</v>
      </c>
    </row>
    <row r="38" spans="1:16" x14ac:dyDescent="0.2">
      <c r="B38" s="40" t="s">
        <v>32</v>
      </c>
      <c r="C38" s="40">
        <v>1603</v>
      </c>
      <c r="E38" s="43">
        <v>1620</v>
      </c>
      <c r="F38" s="43">
        <v>-2499.04</v>
      </c>
      <c r="G38" s="42">
        <f t="shared" si="4"/>
        <v>-879.04</v>
      </c>
      <c r="I38" s="43">
        <v>2000</v>
      </c>
      <c r="J38" s="43">
        <v>-2000</v>
      </c>
      <c r="K38" s="42">
        <f t="shared" si="5"/>
        <v>0</v>
      </c>
      <c r="M38" s="42">
        <f t="shared" si="6"/>
        <v>-380</v>
      </c>
      <c r="N38" s="42">
        <f t="shared" si="7"/>
        <v>-499.03999999999996</v>
      </c>
      <c r="O38" s="42">
        <f t="shared" si="8"/>
        <v>-879.04</v>
      </c>
    </row>
    <row r="39" spans="1:16" hidden="1" x14ac:dyDescent="0.2">
      <c r="B39" s="40" t="s">
        <v>33</v>
      </c>
      <c r="E39" s="43">
        <v>0</v>
      </c>
      <c r="F39" s="43">
        <v>0</v>
      </c>
      <c r="G39" s="42">
        <f t="shared" si="4"/>
        <v>0</v>
      </c>
      <c r="I39" s="43">
        <v>2500</v>
      </c>
      <c r="J39" s="43">
        <v>-2500</v>
      </c>
      <c r="K39" s="42">
        <f t="shared" si="5"/>
        <v>0</v>
      </c>
      <c r="M39" s="42">
        <f t="shared" si="6"/>
        <v>-2500</v>
      </c>
      <c r="N39" s="42">
        <f t="shared" si="7"/>
        <v>2500</v>
      </c>
      <c r="O39" s="42">
        <f t="shared" si="8"/>
        <v>0</v>
      </c>
    </row>
    <row r="40" spans="1:16" x14ac:dyDescent="0.2">
      <c r="B40" s="40" t="s">
        <v>34</v>
      </c>
      <c r="C40" s="40">
        <v>1602</v>
      </c>
      <c r="E40" s="43">
        <v>0</v>
      </c>
      <c r="F40" s="43">
        <v>-450</v>
      </c>
      <c r="G40" s="42">
        <f t="shared" si="4"/>
        <v>-450</v>
      </c>
      <c r="I40" s="43">
        <v>0</v>
      </c>
      <c r="J40" s="43">
        <v>-450</v>
      </c>
      <c r="K40" s="42">
        <f t="shared" si="5"/>
        <v>-450</v>
      </c>
      <c r="M40" s="42">
        <f t="shared" si="6"/>
        <v>0</v>
      </c>
      <c r="N40" s="42">
        <f t="shared" si="7"/>
        <v>0</v>
      </c>
      <c r="O40" s="42">
        <f t="shared" si="8"/>
        <v>0</v>
      </c>
    </row>
    <row r="41" spans="1:16" x14ac:dyDescent="0.2">
      <c r="B41" s="40" t="s">
        <v>35</v>
      </c>
      <c r="C41" s="40" t="s">
        <v>36</v>
      </c>
      <c r="E41" s="43">
        <v>0</v>
      </c>
      <c r="F41" s="43">
        <v>-53.68</v>
      </c>
      <c r="G41" s="42">
        <f t="shared" si="4"/>
        <v>-53.68</v>
      </c>
      <c r="I41" s="43">
        <v>0</v>
      </c>
      <c r="J41" s="43">
        <v>-100</v>
      </c>
      <c r="K41" s="42">
        <f t="shared" si="5"/>
        <v>-100</v>
      </c>
      <c r="M41" s="42">
        <f t="shared" si="6"/>
        <v>0</v>
      </c>
      <c r="N41" s="42">
        <f t="shared" si="7"/>
        <v>46.32</v>
      </c>
      <c r="O41" s="42">
        <f t="shared" si="8"/>
        <v>46.32</v>
      </c>
    </row>
    <row r="42" spans="1:16" x14ac:dyDescent="0.2">
      <c r="B42" s="40" t="s">
        <v>37</v>
      </c>
      <c r="C42" s="40">
        <v>5000</v>
      </c>
      <c r="E42" s="43">
        <v>0</v>
      </c>
      <c r="F42" s="43">
        <f>-75.75-433.52</f>
        <v>-509.27</v>
      </c>
      <c r="G42" s="42">
        <f t="shared" si="4"/>
        <v>-509.27</v>
      </c>
      <c r="I42" s="43">
        <v>0</v>
      </c>
      <c r="J42" s="43">
        <v>0</v>
      </c>
      <c r="K42" s="42">
        <v>0</v>
      </c>
      <c r="M42" s="42">
        <f t="shared" si="6"/>
        <v>0</v>
      </c>
      <c r="N42" s="42">
        <f t="shared" si="7"/>
        <v>-509.27</v>
      </c>
      <c r="O42" s="42">
        <f t="shared" si="8"/>
        <v>-509.27</v>
      </c>
    </row>
    <row r="43" spans="1:16" x14ac:dyDescent="0.2">
      <c r="B43" s="40" t="s">
        <v>38</v>
      </c>
      <c r="C43" s="40">
        <v>1622</v>
      </c>
      <c r="E43" s="43">
        <v>0</v>
      </c>
      <c r="F43" s="43">
        <f>-723.2-1653.48</f>
        <v>-2376.6800000000003</v>
      </c>
      <c r="G43" s="42">
        <f t="shared" si="4"/>
        <v>-2376.6800000000003</v>
      </c>
      <c r="I43" s="43">
        <v>0</v>
      </c>
      <c r="J43" s="43">
        <v>-1000</v>
      </c>
      <c r="K43" s="42">
        <f>SUM(I43:J43)</f>
        <v>-1000</v>
      </c>
      <c r="M43" s="42">
        <f t="shared" si="6"/>
        <v>0</v>
      </c>
      <c r="N43" s="42">
        <f t="shared" si="7"/>
        <v>-1376.6800000000003</v>
      </c>
      <c r="O43" s="42">
        <f t="shared" si="8"/>
        <v>-1376.6800000000003</v>
      </c>
    </row>
    <row r="44" spans="1:16" hidden="1" x14ac:dyDescent="0.2">
      <c r="B44" s="40" t="s">
        <v>39</v>
      </c>
      <c r="E44" s="43">
        <v>0</v>
      </c>
      <c r="F44" s="43">
        <v>0</v>
      </c>
      <c r="G44" s="42">
        <f t="shared" si="4"/>
        <v>0</v>
      </c>
      <c r="I44" s="43">
        <v>0</v>
      </c>
      <c r="J44" s="43">
        <v>0</v>
      </c>
      <c r="K44" s="42">
        <f>SUM(I44:J44)</f>
        <v>0</v>
      </c>
      <c r="M44" s="42">
        <f t="shared" si="6"/>
        <v>0</v>
      </c>
      <c r="N44" s="42">
        <f t="shared" si="7"/>
        <v>0</v>
      </c>
      <c r="O44" s="42">
        <f t="shared" si="8"/>
        <v>0</v>
      </c>
    </row>
    <row r="45" spans="1:16" x14ac:dyDescent="0.2">
      <c r="B45" s="40" t="s">
        <v>40</v>
      </c>
      <c r="C45" s="40">
        <v>1610</v>
      </c>
      <c r="E45" s="43">
        <v>4828.1499999999996</v>
      </c>
      <c r="F45" s="43">
        <f>-5622.71-316.4-271.2</f>
        <v>-6210.3099999999995</v>
      </c>
      <c r="G45" s="42">
        <f t="shared" si="4"/>
        <v>-1382.1599999999999</v>
      </c>
      <c r="I45" s="43">
        <v>3000</v>
      </c>
      <c r="J45" s="43">
        <v>-6000</v>
      </c>
      <c r="K45" s="42">
        <f>SUM(I45:J45)</f>
        <v>-3000</v>
      </c>
      <c r="M45" s="42">
        <f t="shared" si="6"/>
        <v>1828.1499999999996</v>
      </c>
      <c r="N45" s="42">
        <f t="shared" si="7"/>
        <v>-210.30999999999949</v>
      </c>
      <c r="O45" s="42">
        <f t="shared" si="8"/>
        <v>1617.8400000000001</v>
      </c>
    </row>
    <row r="46" spans="1:16" x14ac:dyDescent="0.2">
      <c r="D46" s="57"/>
      <c r="E46" s="58">
        <f>SUM(E33:E45)</f>
        <v>6848.9</v>
      </c>
      <c r="F46" s="58">
        <f>SUM(F33:F45)</f>
        <v>-13899.37</v>
      </c>
      <c r="G46" s="57">
        <f>SUM(G33:G45)</f>
        <v>-7050.4699999999993</v>
      </c>
      <c r="H46" s="57"/>
      <c r="I46" s="58">
        <f>SUM(I33:I45)</f>
        <v>8500</v>
      </c>
      <c r="J46" s="58">
        <f>SUM(J33:J45)</f>
        <v>-15000</v>
      </c>
      <c r="K46" s="57">
        <f>SUM(K33:K45)</f>
        <v>-6500</v>
      </c>
      <c r="L46" s="57"/>
      <c r="M46" s="57">
        <f>SUM(M33:M45)</f>
        <v>-1651.1000000000004</v>
      </c>
      <c r="N46" s="57">
        <f>SUM(N33:N45)</f>
        <v>1100.6300000000001</v>
      </c>
      <c r="O46" s="57">
        <f>SUM(O33:O45)</f>
        <v>-550.47000000000025</v>
      </c>
      <c r="P46" s="57"/>
    </row>
    <row r="48" spans="1:16" ht="15.75" x14ac:dyDescent="0.25">
      <c r="A48" s="41" t="s">
        <v>41</v>
      </c>
    </row>
    <row r="49" spans="1:16" x14ac:dyDescent="0.2">
      <c r="B49" s="40" t="s">
        <v>42</v>
      </c>
      <c r="C49" s="40">
        <v>2563</v>
      </c>
      <c r="E49" s="43">
        <v>0</v>
      </c>
      <c r="F49" s="43">
        <f>-4707.69-600-225-165.12-135.6</f>
        <v>-5833.41</v>
      </c>
      <c r="G49" s="42">
        <f t="shared" ref="G49:G54" si="9">SUM(D49:F49)</f>
        <v>-5833.41</v>
      </c>
      <c r="I49" s="43">
        <v>0</v>
      </c>
      <c r="J49" s="43">
        <v>-3000</v>
      </c>
      <c r="K49" s="42">
        <f t="shared" ref="K49:K54" si="10">SUM(I49:J49)</f>
        <v>-3000</v>
      </c>
      <c r="M49" s="42">
        <f t="shared" ref="M49:N54" si="11">E49-I49</f>
        <v>0</v>
      </c>
      <c r="N49" s="42">
        <f t="shared" si="11"/>
        <v>-2833.41</v>
      </c>
      <c r="O49" s="42">
        <f t="shared" ref="O49:O54" si="12">SUM(L49:N49)</f>
        <v>-2833.41</v>
      </c>
    </row>
    <row r="50" spans="1:16" x14ac:dyDescent="0.2">
      <c r="B50" s="40" t="s">
        <v>43</v>
      </c>
      <c r="C50" s="40">
        <v>2569</v>
      </c>
      <c r="E50" s="43">
        <v>0</v>
      </c>
      <c r="F50" s="43">
        <v>-7950.61</v>
      </c>
      <c r="G50" s="42">
        <f t="shared" si="9"/>
        <v>-7950.61</v>
      </c>
      <c r="I50" s="43">
        <v>0</v>
      </c>
      <c r="J50" s="43">
        <v>-6000</v>
      </c>
      <c r="K50" s="42">
        <f t="shared" si="10"/>
        <v>-6000</v>
      </c>
      <c r="M50" s="42">
        <f t="shared" si="11"/>
        <v>0</v>
      </c>
      <c r="N50" s="42">
        <f t="shared" si="11"/>
        <v>-1950.6099999999997</v>
      </c>
      <c r="O50" s="42">
        <f t="shared" si="12"/>
        <v>-1950.6099999999997</v>
      </c>
    </row>
    <row r="51" spans="1:16" x14ac:dyDescent="0.2">
      <c r="B51" s="40" t="s">
        <v>44</v>
      </c>
      <c r="C51" s="40">
        <v>1555</v>
      </c>
      <c r="E51" s="43">
        <v>0</v>
      </c>
      <c r="F51" s="43">
        <v>0</v>
      </c>
      <c r="G51" s="42">
        <f t="shared" si="9"/>
        <v>0</v>
      </c>
      <c r="I51" s="43">
        <v>0</v>
      </c>
      <c r="J51" s="43">
        <v>0</v>
      </c>
      <c r="K51" s="42">
        <f t="shared" si="10"/>
        <v>0</v>
      </c>
      <c r="M51" s="42">
        <f t="shared" si="11"/>
        <v>0</v>
      </c>
      <c r="N51" s="42">
        <f t="shared" si="11"/>
        <v>0</v>
      </c>
      <c r="O51" s="42">
        <f t="shared" si="12"/>
        <v>0</v>
      </c>
    </row>
    <row r="52" spans="1:16" x14ac:dyDescent="0.2">
      <c r="B52" s="40" t="s">
        <v>45</v>
      </c>
      <c r="C52" s="40">
        <v>3012</v>
      </c>
      <c r="E52" s="43">
        <v>0</v>
      </c>
      <c r="F52" s="43">
        <v>0</v>
      </c>
      <c r="G52" s="42">
        <f t="shared" si="9"/>
        <v>0</v>
      </c>
      <c r="I52" s="43">
        <v>0</v>
      </c>
      <c r="J52" s="43">
        <v>0</v>
      </c>
      <c r="K52" s="42">
        <f t="shared" si="10"/>
        <v>0</v>
      </c>
      <c r="M52" s="42">
        <f t="shared" si="11"/>
        <v>0</v>
      </c>
      <c r="N52" s="42">
        <f t="shared" si="11"/>
        <v>0</v>
      </c>
      <c r="O52" s="42">
        <f t="shared" si="12"/>
        <v>0</v>
      </c>
    </row>
    <row r="53" spans="1:16" x14ac:dyDescent="0.2">
      <c r="B53" s="40" t="s">
        <v>46</v>
      </c>
      <c r="C53" s="40">
        <v>1506</v>
      </c>
      <c r="E53" s="43">
        <v>310</v>
      </c>
      <c r="F53" s="43">
        <f>-5565.58-4813.8</f>
        <v>-10379.380000000001</v>
      </c>
      <c r="G53" s="42">
        <f t="shared" si="9"/>
        <v>-10069.380000000001</v>
      </c>
      <c r="I53" s="43">
        <v>1500</v>
      </c>
      <c r="J53" s="43">
        <v>-12000</v>
      </c>
      <c r="K53" s="42">
        <f t="shared" si="10"/>
        <v>-10500</v>
      </c>
      <c r="M53" s="42">
        <f t="shared" si="11"/>
        <v>-1190</v>
      </c>
      <c r="N53" s="42">
        <f t="shared" si="11"/>
        <v>1620.619999999999</v>
      </c>
      <c r="O53" s="42">
        <f t="shared" si="12"/>
        <v>430.61999999999898</v>
      </c>
    </row>
    <row r="54" spans="1:16" x14ac:dyDescent="0.2">
      <c r="B54" s="40" t="s">
        <v>47</v>
      </c>
      <c r="C54" s="40">
        <v>5500</v>
      </c>
      <c r="E54" s="43">
        <v>0</v>
      </c>
      <c r="F54" s="43">
        <v>0</v>
      </c>
      <c r="G54" s="42">
        <f t="shared" si="9"/>
        <v>0</v>
      </c>
      <c r="I54" s="43">
        <v>500</v>
      </c>
      <c r="J54" s="43">
        <v>-500</v>
      </c>
      <c r="K54" s="42">
        <f t="shared" si="10"/>
        <v>0</v>
      </c>
      <c r="M54" s="42">
        <f t="shared" si="11"/>
        <v>-500</v>
      </c>
      <c r="N54" s="42">
        <f t="shared" si="11"/>
        <v>500</v>
      </c>
      <c r="O54" s="42">
        <f t="shared" si="12"/>
        <v>0</v>
      </c>
    </row>
    <row r="55" spans="1:16" x14ac:dyDescent="0.2">
      <c r="D55" s="57"/>
      <c r="E55" s="58">
        <f>SUM(E49:E54)</f>
        <v>310</v>
      </c>
      <c r="F55" s="58">
        <f>SUM(F49:F54)</f>
        <v>-24163.4</v>
      </c>
      <c r="G55" s="57">
        <f>SUM(G49:G54)</f>
        <v>-23853.4</v>
      </c>
      <c r="H55" s="57"/>
      <c r="I55" s="58">
        <f>SUM(I49:I54)</f>
        <v>2000</v>
      </c>
      <c r="J55" s="58">
        <f>SUM(J49:J54)</f>
        <v>-21500</v>
      </c>
      <c r="K55" s="57">
        <f>SUM(K49:K54)</f>
        <v>-19500</v>
      </c>
      <c r="L55" s="57"/>
      <c r="M55" s="57">
        <f>SUM(M49:M54)</f>
        <v>-1690</v>
      </c>
      <c r="N55" s="57">
        <f>SUM(N49:N54)</f>
        <v>-2663.4000000000005</v>
      </c>
      <c r="O55" s="57">
        <f>SUM(O49:O54)</f>
        <v>-4353.4000000000005</v>
      </c>
      <c r="P55" s="57"/>
    </row>
    <row r="56" spans="1:16" x14ac:dyDescent="0.2">
      <c r="D56" s="48"/>
      <c r="E56" s="49"/>
      <c r="F56" s="49"/>
      <c r="G56" s="48"/>
      <c r="H56" s="48"/>
      <c r="I56" s="49"/>
      <c r="J56" s="49"/>
      <c r="K56" s="48"/>
      <c r="L56" s="48"/>
      <c r="M56" s="48"/>
      <c r="N56" s="48"/>
      <c r="O56" s="48"/>
      <c r="P56" s="48"/>
    </row>
    <row r="57" spans="1:16" ht="15.75" x14ac:dyDescent="0.25">
      <c r="A57" s="41" t="s">
        <v>48</v>
      </c>
    </row>
    <row r="58" spans="1:16" x14ac:dyDescent="0.2">
      <c r="B58" s="40" t="s">
        <v>49</v>
      </c>
      <c r="C58" s="40">
        <v>1515</v>
      </c>
      <c r="E58" s="43">
        <v>0</v>
      </c>
      <c r="F58" s="43">
        <v>0</v>
      </c>
      <c r="G58" s="42">
        <f>SUM(D58:F58)</f>
        <v>0</v>
      </c>
      <c r="J58" s="43">
        <v>0</v>
      </c>
      <c r="K58" s="42">
        <f>SUM(I58:J58)</f>
        <v>0</v>
      </c>
      <c r="M58" s="42">
        <f t="shared" ref="M58:N60" si="13">E58-I58</f>
        <v>0</v>
      </c>
      <c r="N58" s="42">
        <f t="shared" si="13"/>
        <v>0</v>
      </c>
      <c r="O58" s="42">
        <f>SUM(L58:N58)</f>
        <v>0</v>
      </c>
    </row>
    <row r="59" spans="1:16" x14ac:dyDescent="0.2">
      <c r="B59" s="40" t="s">
        <v>50</v>
      </c>
      <c r="C59" s="40">
        <v>1500</v>
      </c>
      <c r="E59" s="43">
        <v>0</v>
      </c>
      <c r="F59" s="43">
        <v>0</v>
      </c>
      <c r="G59" s="42">
        <f>SUM(D59:F59)</f>
        <v>0</v>
      </c>
      <c r="I59" s="43">
        <v>0</v>
      </c>
      <c r="K59" s="42">
        <f>SUM(I59:J59)</f>
        <v>0</v>
      </c>
      <c r="M59" s="42">
        <f t="shared" si="13"/>
        <v>0</v>
      </c>
      <c r="N59" s="42">
        <f t="shared" si="13"/>
        <v>0</v>
      </c>
      <c r="O59" s="42">
        <f>SUM(L59:N59)</f>
        <v>0</v>
      </c>
    </row>
    <row r="60" spans="1:16" x14ac:dyDescent="0.2">
      <c r="D60" s="57"/>
      <c r="E60" s="58">
        <f>SUM(E58:E59)</f>
        <v>0</v>
      </c>
      <c r="F60" s="58">
        <f>SUM(F58:F59)</f>
        <v>0</v>
      </c>
      <c r="G60" s="57">
        <f>SUM(D60:F60)</f>
        <v>0</v>
      </c>
      <c r="H60" s="57"/>
      <c r="I60" s="58">
        <f>SUM(I58:I59)</f>
        <v>0</v>
      </c>
      <c r="J60" s="58">
        <f>SUM(J58:J59)</f>
        <v>0</v>
      </c>
      <c r="K60" s="57">
        <f>SUM(I60:J60)</f>
        <v>0</v>
      </c>
      <c r="L60" s="57"/>
      <c r="M60" s="57">
        <f t="shared" si="13"/>
        <v>0</v>
      </c>
      <c r="N60" s="57">
        <f t="shared" si="13"/>
        <v>0</v>
      </c>
      <c r="O60" s="57">
        <f>SUM(L60:N60)</f>
        <v>0</v>
      </c>
      <c r="P60" s="57"/>
    </row>
    <row r="61" spans="1:16" ht="15.75" x14ac:dyDescent="0.25">
      <c r="A61" s="41"/>
    </row>
    <row r="62" spans="1:16" ht="15.75" x14ac:dyDescent="0.25">
      <c r="A62" s="41" t="s">
        <v>51</v>
      </c>
    </row>
    <row r="63" spans="1:16" x14ac:dyDescent="0.2">
      <c r="B63" s="40" t="s">
        <v>52</v>
      </c>
      <c r="C63" s="40">
        <v>6806</v>
      </c>
      <c r="E63" s="43">
        <v>0</v>
      </c>
      <c r="F63" s="43">
        <v>-3000</v>
      </c>
      <c r="G63" s="42">
        <f>SUM(D63:F63)</f>
        <v>-3000</v>
      </c>
      <c r="I63" s="43">
        <v>0</v>
      </c>
      <c r="J63" s="43">
        <v>-3000</v>
      </c>
      <c r="K63" s="42">
        <f>SUM(I63:J63)</f>
        <v>-3000</v>
      </c>
      <c r="M63" s="42">
        <f t="shared" ref="M63:N66" si="14">E63-I63</f>
        <v>0</v>
      </c>
      <c r="N63" s="42">
        <f t="shared" si="14"/>
        <v>0</v>
      </c>
      <c r="O63" s="42">
        <f>SUM(L63:N63)</f>
        <v>0</v>
      </c>
    </row>
    <row r="64" spans="1:16" x14ac:dyDescent="0.2">
      <c r="B64" s="40" t="s">
        <v>53</v>
      </c>
      <c r="E64" s="43">
        <v>0</v>
      </c>
      <c r="F64" s="43">
        <v>0</v>
      </c>
      <c r="G64" s="42">
        <f>SUM(D64:F64)</f>
        <v>0</v>
      </c>
      <c r="I64" s="43">
        <v>0</v>
      </c>
      <c r="J64" s="43">
        <v>0</v>
      </c>
      <c r="K64" s="42">
        <f>SUM(I64:J64)</f>
        <v>0</v>
      </c>
      <c r="M64" s="42">
        <f t="shared" si="14"/>
        <v>0</v>
      </c>
      <c r="N64" s="42">
        <f t="shared" si="14"/>
        <v>0</v>
      </c>
      <c r="O64" s="42">
        <f>SUM(L64:N64)</f>
        <v>0</v>
      </c>
    </row>
    <row r="65" spans="1:16" x14ac:dyDescent="0.2">
      <c r="B65" s="40" t="s">
        <v>54</v>
      </c>
      <c r="C65" s="40" t="s">
        <v>36</v>
      </c>
      <c r="E65" s="43">
        <v>0</v>
      </c>
      <c r="F65" s="43">
        <v>-43</v>
      </c>
      <c r="G65" s="42">
        <f>SUM(D65:F65)</f>
        <v>-43</v>
      </c>
      <c r="I65" s="43">
        <v>0</v>
      </c>
      <c r="J65" s="43">
        <v>0</v>
      </c>
      <c r="K65" s="42">
        <f>SUM(I65:J65)</f>
        <v>0</v>
      </c>
      <c r="M65" s="42">
        <f t="shared" si="14"/>
        <v>0</v>
      </c>
      <c r="N65" s="42">
        <f t="shared" si="14"/>
        <v>-43</v>
      </c>
      <c r="O65" s="42">
        <f>SUM(L65:N65)</f>
        <v>-43</v>
      </c>
    </row>
    <row r="66" spans="1:16" x14ac:dyDescent="0.2">
      <c r="B66" s="40" t="s">
        <v>55</v>
      </c>
      <c r="C66" s="40">
        <v>1503</v>
      </c>
      <c r="E66" s="43">
        <v>200</v>
      </c>
      <c r="F66" s="43">
        <v>-598.51</v>
      </c>
      <c r="G66" s="42">
        <f>SUM(D66:F66)</f>
        <v>-398.51</v>
      </c>
      <c r="I66" s="43">
        <v>0</v>
      </c>
      <c r="J66" s="43">
        <v>-3500</v>
      </c>
      <c r="K66" s="42">
        <f>SUM(I66:J66)</f>
        <v>-3500</v>
      </c>
      <c r="M66" s="42">
        <f t="shared" si="14"/>
        <v>200</v>
      </c>
      <c r="N66" s="42">
        <f t="shared" si="14"/>
        <v>2901.49</v>
      </c>
      <c r="O66" s="42">
        <f>SUM(L66:N66)</f>
        <v>3101.49</v>
      </c>
    </row>
    <row r="67" spans="1:16" x14ac:dyDescent="0.2">
      <c r="D67" s="57"/>
      <c r="E67" s="58">
        <f>SUM(E63:E66)</f>
        <v>200</v>
      </c>
      <c r="F67" s="58">
        <f>SUM(F63:F66)</f>
        <v>-3641.51</v>
      </c>
      <c r="G67" s="57">
        <f>SUM(G63:G66)</f>
        <v>-3441.51</v>
      </c>
      <c r="H67" s="57"/>
      <c r="I67" s="58">
        <f>SUM(I63:I66)</f>
        <v>0</v>
      </c>
      <c r="J67" s="58">
        <f>SUM(J63:J66)</f>
        <v>-6500</v>
      </c>
      <c r="K67" s="57">
        <f>SUM(K63:K66)</f>
        <v>-6500</v>
      </c>
      <c r="L67" s="57"/>
      <c r="M67" s="57">
        <f>SUM(M63:M66)</f>
        <v>200</v>
      </c>
      <c r="N67" s="57">
        <f>SUM(N63:N66)</f>
        <v>2858.49</v>
      </c>
      <c r="O67" s="57">
        <f>SUM(O63:O66)</f>
        <v>3058.49</v>
      </c>
      <c r="P67" s="57"/>
    </row>
    <row r="68" spans="1:16" x14ac:dyDescent="0.2">
      <c r="D68" s="48"/>
      <c r="E68" s="49"/>
      <c r="F68" s="49"/>
      <c r="G68" s="48"/>
      <c r="H68" s="48"/>
      <c r="I68" s="49"/>
      <c r="J68" s="49"/>
      <c r="K68" s="48"/>
      <c r="L68" s="48"/>
      <c r="M68" s="48"/>
      <c r="N68" s="48"/>
      <c r="O68" s="48"/>
      <c r="P68" s="48"/>
    </row>
    <row r="69" spans="1:16" ht="16.5" thickBot="1" x14ac:dyDescent="0.3">
      <c r="A69" s="54"/>
      <c r="B69" s="54"/>
      <c r="C69" s="54"/>
      <c r="D69" s="63"/>
      <c r="E69" s="63">
        <f>E10+E12+E14+E24+E30+E46+E55+E60+E67</f>
        <v>87579.54</v>
      </c>
      <c r="F69" s="63">
        <f>F10+F12+F14+F24+F30+F46+F55+F60+F67</f>
        <v>-83590.95</v>
      </c>
      <c r="G69" s="63">
        <f>G10+G12+G14+G24+G30+G46+G55+G60+G67</f>
        <v>3988.5899999999983</v>
      </c>
      <c r="H69" s="63"/>
      <c r="I69" s="63">
        <f>I10+I12+I14+I24+I30+I46+I55+I60+I67</f>
        <v>82150</v>
      </c>
      <c r="J69" s="63">
        <f>J10+J12+J14+J24+J30+J46+J55+J60+J67</f>
        <v>-82150</v>
      </c>
      <c r="K69" s="63">
        <f>K10+K12+K14+K24+K30+K46+K55+K60+K67</f>
        <v>0</v>
      </c>
      <c r="L69" s="63"/>
      <c r="M69" s="63">
        <f>M10+M12+M14+M24+M30+M46+M55+M60+M67</f>
        <v>5429.5400000000009</v>
      </c>
      <c r="N69" s="63">
        <f>N10+N12+N14+N24+N30+N46+N55+N60+N67</f>
        <v>-1440.9500000000025</v>
      </c>
      <c r="O69" s="63">
        <f>O10+O12+O14+O24+O30+O46+O55+O60+O67</f>
        <v>3988.59</v>
      </c>
      <c r="P69" s="64"/>
    </row>
    <row r="71" spans="1:16" ht="15.75" x14ac:dyDescent="0.25">
      <c r="A71" s="54" t="s">
        <v>56</v>
      </c>
      <c r="B71" s="65"/>
      <c r="C71" s="65"/>
      <c r="D71" s="66"/>
      <c r="E71" s="66"/>
      <c r="F71" s="66"/>
      <c r="G71" s="55">
        <f>G10+G69</f>
        <v>3988.5899999999983</v>
      </c>
      <c r="H71" s="66"/>
      <c r="I71" s="66"/>
      <c r="J71" s="66"/>
      <c r="K71" s="66"/>
      <c r="L71" s="66"/>
      <c r="M71" s="66"/>
      <c r="N71" s="66"/>
      <c r="O71" s="66"/>
      <c r="P71" s="66"/>
    </row>
    <row r="73" spans="1:16" x14ac:dyDescent="0.2">
      <c r="F73" s="43" t="s">
        <v>90</v>
      </c>
      <c r="G73" s="42">
        <v>4813.8</v>
      </c>
    </row>
    <row r="74" spans="1:16" x14ac:dyDescent="0.2">
      <c r="F74" s="43" t="s">
        <v>89</v>
      </c>
      <c r="G74" s="42">
        <v>3447.72</v>
      </c>
    </row>
    <row r="75" spans="1:16" x14ac:dyDescent="0.2">
      <c r="F75" s="43" t="s">
        <v>87</v>
      </c>
      <c r="G75" s="42">
        <v>316.39999999999998</v>
      </c>
    </row>
    <row r="76" spans="1:16" x14ac:dyDescent="0.2">
      <c r="F76" s="43" t="s">
        <v>88</v>
      </c>
      <c r="G76" s="42">
        <v>271.2</v>
      </c>
    </row>
    <row r="77" spans="1:16" x14ac:dyDescent="0.2">
      <c r="F77" s="43" t="s">
        <v>86</v>
      </c>
      <c r="G77" s="42">
        <v>-314.70999999999998</v>
      </c>
    </row>
    <row r="78" spans="1:16" x14ac:dyDescent="0.2">
      <c r="F78" s="43" t="s">
        <v>84</v>
      </c>
      <c r="G78" s="42">
        <v>433.52</v>
      </c>
    </row>
    <row r="79" spans="1:16" x14ac:dyDescent="0.2">
      <c r="F79" s="43" t="s">
        <v>85</v>
      </c>
      <c r="G79" s="42">
        <v>135.6</v>
      </c>
    </row>
    <row r="80" spans="1:16" x14ac:dyDescent="0.2">
      <c r="G80" s="67">
        <f>SUM(G71:G79)</f>
        <v>13092.12</v>
      </c>
    </row>
  </sheetData>
  <phoneticPr fontId="2" type="noConversion"/>
  <pageMargins left="0.19685039370078741" right="0.19685039370078741" top="0.35433070866141736" bottom="0.51181102362204722" header="0.15748031496062992" footer="0.31496062992125984"/>
  <pageSetup scale="53" orientation="landscape" r:id="rId1"/>
  <headerFooter alignWithMargins="0">
    <oddFooter>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7C80"/>
    <pageSetUpPr fitToPage="1"/>
  </sheetPr>
  <dimension ref="A1:P93"/>
  <sheetViews>
    <sheetView tabSelected="1" view="pageBreakPreview" zoomScale="80" zoomScaleNormal="78" zoomScaleSheetLayoutView="80" workbookViewId="0">
      <selection activeCell="Q9" sqref="Q9"/>
    </sheetView>
  </sheetViews>
  <sheetFormatPr defaultColWidth="8.85546875" defaultRowHeight="15" outlineLevelCol="1" x14ac:dyDescent="0.2"/>
  <cols>
    <col min="1" max="1" width="15.42578125" style="74" customWidth="1"/>
    <col min="2" max="2" width="47.140625" style="74" customWidth="1"/>
    <col min="3" max="3" width="7.140625" style="75" customWidth="1"/>
    <col min="4" max="4" width="16" style="62" customWidth="1" outlineLevel="1"/>
    <col min="5" max="6" width="16.28515625" style="62" customWidth="1" outlineLevel="1"/>
    <col min="7" max="7" width="14.7109375" style="62" customWidth="1" outlineLevel="1"/>
    <col min="8" max="8" width="45.85546875" style="62" customWidth="1"/>
    <col min="9" max="10" width="16.28515625" style="62" hidden="1" customWidth="1"/>
    <col min="11" max="11" width="19.7109375" style="62" hidden="1" customWidth="1"/>
    <col min="12" max="12" width="3.42578125" style="62" hidden="1" customWidth="1"/>
    <col min="13" max="15" width="16.28515625" style="62" hidden="1" customWidth="1" outlineLevel="1"/>
    <col min="16" max="16" width="16.42578125" style="59" customWidth="1" outlineLevel="1"/>
    <col min="17" max="16384" width="8.85546875" style="69"/>
  </cols>
  <sheetData>
    <row r="1" spans="1:16" ht="12.75" customHeight="1" x14ac:dyDescent="0.25">
      <c r="A1" s="41"/>
      <c r="B1" s="41"/>
      <c r="C1" s="68"/>
      <c r="D1" s="42"/>
      <c r="E1" s="43"/>
      <c r="F1" s="43"/>
      <c r="G1" s="42"/>
      <c r="H1" s="42"/>
      <c r="I1" s="43"/>
      <c r="J1" s="43"/>
      <c r="K1" s="42"/>
      <c r="L1" s="42"/>
      <c r="M1" s="42"/>
      <c r="N1" s="42"/>
      <c r="O1" s="42"/>
    </row>
    <row r="2" spans="1:16" ht="12.75" customHeight="1" x14ac:dyDescent="0.25">
      <c r="A2" s="41"/>
      <c r="B2" s="41"/>
      <c r="C2" s="68"/>
      <c r="D2" s="42"/>
      <c r="E2" s="43"/>
      <c r="F2" s="43"/>
      <c r="G2" s="42"/>
      <c r="H2" s="42"/>
      <c r="I2" s="43"/>
      <c r="J2" s="43"/>
      <c r="K2" s="42"/>
      <c r="L2" s="42"/>
      <c r="M2" s="42"/>
      <c r="N2" s="42"/>
      <c r="O2" s="42"/>
    </row>
    <row r="3" spans="1:16" ht="12.75" customHeight="1" x14ac:dyDescent="0.25">
      <c r="A3" s="46"/>
      <c r="B3" s="41"/>
      <c r="C3" s="68"/>
      <c r="D3" s="42"/>
      <c r="E3" s="43"/>
      <c r="F3" s="43"/>
      <c r="G3" s="42"/>
      <c r="H3" s="42"/>
      <c r="I3" s="43"/>
      <c r="J3" s="43"/>
      <c r="K3" s="42"/>
      <c r="L3" s="42"/>
      <c r="M3" s="42"/>
      <c r="N3" s="42"/>
      <c r="O3" s="42"/>
    </row>
    <row r="4" spans="1:16" ht="12.75" customHeight="1" x14ac:dyDescent="0.25">
      <c r="A4" s="51"/>
      <c r="B4" s="41"/>
      <c r="C4" s="68"/>
      <c r="D4" s="42"/>
      <c r="E4" s="43"/>
      <c r="F4" s="43"/>
      <c r="G4" s="42"/>
      <c r="H4" s="42"/>
      <c r="I4" s="43"/>
      <c r="J4" s="43"/>
      <c r="K4" s="42"/>
      <c r="L4" s="42"/>
      <c r="M4" s="42"/>
      <c r="N4" s="42"/>
      <c r="O4" s="42"/>
    </row>
    <row r="5" spans="1:16" ht="15.75" customHeight="1" thickBot="1" x14ac:dyDescent="0.3">
      <c r="A5" s="70"/>
      <c r="B5" s="40"/>
      <c r="C5" s="68"/>
      <c r="D5" s="42"/>
      <c r="E5" s="44" t="s">
        <v>0</v>
      </c>
      <c r="F5" s="44" t="s">
        <v>0</v>
      </c>
      <c r="G5" s="45" t="s">
        <v>0</v>
      </c>
      <c r="H5" s="42"/>
      <c r="I5" s="44" t="s">
        <v>1</v>
      </c>
      <c r="J5" s="44" t="s">
        <v>1</v>
      </c>
      <c r="K5" s="45" t="s">
        <v>1</v>
      </c>
      <c r="L5" s="42"/>
      <c r="M5" s="45" t="s">
        <v>2</v>
      </c>
      <c r="N5" s="45" t="s">
        <v>2</v>
      </c>
      <c r="O5" s="45" t="s">
        <v>2</v>
      </c>
    </row>
    <row r="6" spans="1:16" ht="18" x14ac:dyDescent="0.25">
      <c r="A6" s="39" t="s">
        <v>204</v>
      </c>
      <c r="B6" s="40"/>
      <c r="C6" s="68"/>
      <c r="D6" s="42"/>
      <c r="E6" s="43"/>
      <c r="F6" s="43"/>
      <c r="G6" s="42"/>
      <c r="H6" s="42"/>
      <c r="I6" s="43"/>
      <c r="J6" s="43"/>
      <c r="K6" s="42"/>
      <c r="L6" s="42"/>
      <c r="M6" s="47" t="s">
        <v>3</v>
      </c>
      <c r="N6" s="47" t="s">
        <v>4</v>
      </c>
      <c r="O6" s="48" t="s">
        <v>5</v>
      </c>
    </row>
    <row r="7" spans="1:16" ht="15.75" x14ac:dyDescent="0.25">
      <c r="A7" s="41" t="s">
        <v>146</v>
      </c>
      <c r="B7" s="40"/>
      <c r="C7" s="68"/>
      <c r="D7" s="48"/>
      <c r="E7" s="49" t="s">
        <v>6</v>
      </c>
      <c r="F7" s="49" t="s">
        <v>7</v>
      </c>
      <c r="G7" s="48" t="s">
        <v>5</v>
      </c>
      <c r="H7" s="48"/>
      <c r="I7" s="77" t="s">
        <v>149</v>
      </c>
      <c r="J7" s="77" t="s">
        <v>150</v>
      </c>
      <c r="K7" s="76" t="s">
        <v>5</v>
      </c>
      <c r="L7" s="48"/>
      <c r="M7" s="50" t="s">
        <v>8</v>
      </c>
      <c r="N7" s="50" t="s">
        <v>8</v>
      </c>
      <c r="O7" s="50" t="s">
        <v>8</v>
      </c>
    </row>
    <row r="8" spans="1:16" ht="16.5" thickBot="1" x14ac:dyDescent="0.3">
      <c r="A8" s="51" t="s">
        <v>211</v>
      </c>
      <c r="B8" s="40"/>
      <c r="C8" s="68"/>
      <c r="D8" s="52"/>
      <c r="E8" s="53"/>
      <c r="F8" s="53"/>
      <c r="G8" s="52" t="s">
        <v>9</v>
      </c>
      <c r="H8" s="91" t="s">
        <v>214</v>
      </c>
      <c r="I8" s="53"/>
      <c r="J8" s="53"/>
      <c r="K8" s="45" t="s">
        <v>151</v>
      </c>
      <c r="L8" s="52"/>
      <c r="M8" s="45" t="s">
        <v>10</v>
      </c>
      <c r="N8" s="45" t="s">
        <v>10</v>
      </c>
      <c r="O8" s="45" t="s">
        <v>11</v>
      </c>
    </row>
    <row r="9" spans="1:16" x14ac:dyDescent="0.2">
      <c r="A9" s="87" t="s">
        <v>210</v>
      </c>
      <c r="B9" s="40"/>
      <c r="C9" s="68"/>
      <c r="D9" s="42"/>
      <c r="E9" s="43"/>
      <c r="F9" s="43"/>
      <c r="G9" s="42"/>
      <c r="H9" s="42"/>
      <c r="I9" s="43"/>
      <c r="J9" s="43"/>
      <c r="K9" s="42"/>
      <c r="L9" s="42"/>
      <c r="M9" s="42"/>
      <c r="N9" s="42"/>
      <c r="O9" s="42"/>
    </row>
    <row r="10" spans="1:16" s="73" customFormat="1" ht="15.75" x14ac:dyDescent="0.25">
      <c r="A10" s="54" t="s">
        <v>12</v>
      </c>
      <c r="B10" s="54"/>
      <c r="C10" s="71"/>
      <c r="D10" s="55">
        <v>28325</v>
      </c>
      <c r="E10" s="55">
        <v>0</v>
      </c>
      <c r="F10" s="55">
        <v>0</v>
      </c>
      <c r="G10" s="55">
        <v>0</v>
      </c>
      <c r="H10" s="55"/>
      <c r="I10" s="55">
        <f>+E10</f>
        <v>0</v>
      </c>
      <c r="J10" s="55">
        <v>0</v>
      </c>
      <c r="K10" s="55">
        <f>SUM(I10:J10)</f>
        <v>0</v>
      </c>
      <c r="L10" s="55"/>
      <c r="M10" s="55">
        <f>E10-I10</f>
        <v>0</v>
      </c>
      <c r="N10" s="55">
        <f>F10-J10</f>
        <v>0</v>
      </c>
      <c r="O10" s="55">
        <f>G10-K10</f>
        <v>0</v>
      </c>
      <c r="P10" s="72"/>
    </row>
    <row r="11" spans="1:16" x14ac:dyDescent="0.2">
      <c r="A11" s="40"/>
      <c r="B11" s="40"/>
      <c r="C11" s="68"/>
      <c r="D11" s="42"/>
      <c r="E11" s="43"/>
      <c r="F11" s="43"/>
      <c r="G11" s="42"/>
      <c r="H11" s="42"/>
      <c r="I11" s="43"/>
      <c r="J11" s="43"/>
      <c r="K11" s="42"/>
      <c r="L11" s="42"/>
      <c r="M11" s="42"/>
      <c r="N11" s="42"/>
      <c r="O11" s="42"/>
    </row>
    <row r="12" spans="1:16" ht="15.75" x14ac:dyDescent="0.25">
      <c r="A12" s="41" t="s">
        <v>13</v>
      </c>
      <c r="B12" s="40"/>
      <c r="C12" s="68" t="s">
        <v>36</v>
      </c>
      <c r="D12" s="57"/>
      <c r="E12" s="58">
        <v>0</v>
      </c>
      <c r="F12" s="58">
        <v>0</v>
      </c>
      <c r="G12" s="57">
        <f>SUM(D12:F12)</f>
        <v>0</v>
      </c>
      <c r="H12" s="57"/>
      <c r="I12" s="58">
        <v>0</v>
      </c>
      <c r="J12" s="58"/>
      <c r="K12" s="57">
        <f>SUM(I12:J12)</f>
        <v>0</v>
      </c>
      <c r="L12" s="57"/>
      <c r="M12" s="57">
        <f>E12-I12</f>
        <v>0</v>
      </c>
      <c r="N12" s="57">
        <f>F12-J12</f>
        <v>0</v>
      </c>
      <c r="O12" s="57">
        <f>G12-K12</f>
        <v>0</v>
      </c>
    </row>
    <row r="13" spans="1:16" ht="15.75" x14ac:dyDescent="0.25">
      <c r="A13" s="41"/>
      <c r="B13" s="40"/>
      <c r="C13" s="68"/>
      <c r="D13" s="42"/>
      <c r="E13" s="43"/>
      <c r="F13" s="43"/>
      <c r="G13" s="42"/>
      <c r="H13" s="42"/>
      <c r="I13" s="43"/>
      <c r="J13" s="43"/>
      <c r="K13" s="42"/>
      <c r="L13" s="42"/>
      <c r="M13" s="42"/>
      <c r="N13" s="42"/>
      <c r="O13" s="42"/>
    </row>
    <row r="14" spans="1:16" ht="15.75" x14ac:dyDescent="0.25">
      <c r="A14" s="41" t="s">
        <v>14</v>
      </c>
      <c r="B14" s="40"/>
      <c r="C14" s="68">
        <v>1620</v>
      </c>
      <c r="D14" s="57"/>
      <c r="E14" s="58">
        <v>0</v>
      </c>
      <c r="F14" s="58">
        <v>0</v>
      </c>
      <c r="G14" s="57">
        <f>SUM(E14:F14)</f>
        <v>0</v>
      </c>
      <c r="H14" s="57"/>
      <c r="I14" s="58">
        <v>0</v>
      </c>
      <c r="J14" s="58"/>
      <c r="K14" s="57">
        <f>SUM(I14:J14)</f>
        <v>0</v>
      </c>
      <c r="L14" s="57"/>
      <c r="M14" s="57">
        <f>E14-I14</f>
        <v>0</v>
      </c>
      <c r="N14" s="57">
        <f>F14-J14</f>
        <v>0</v>
      </c>
      <c r="O14" s="57">
        <f>G14-K14</f>
        <v>0</v>
      </c>
    </row>
    <row r="15" spans="1:16" ht="15.75" x14ac:dyDescent="0.25">
      <c r="A15" s="41"/>
      <c r="B15" s="40"/>
      <c r="C15" s="68"/>
      <c r="D15" s="42"/>
      <c r="E15" s="43"/>
      <c r="F15" s="43"/>
      <c r="G15" s="42"/>
      <c r="H15" s="42"/>
      <c r="I15" s="43"/>
      <c r="J15" s="43"/>
      <c r="K15" s="42"/>
      <c r="L15" s="42"/>
      <c r="M15" s="42"/>
      <c r="N15" s="42"/>
      <c r="O15" s="42"/>
    </row>
    <row r="16" spans="1:16" ht="15.75" x14ac:dyDescent="0.25">
      <c r="A16" s="41" t="s">
        <v>15</v>
      </c>
      <c r="B16" s="40"/>
      <c r="C16" s="68"/>
      <c r="D16" s="42"/>
      <c r="E16" s="43"/>
      <c r="F16" s="43"/>
      <c r="G16" s="42"/>
      <c r="H16" s="42"/>
      <c r="I16" s="43"/>
      <c r="J16" s="43"/>
      <c r="K16" s="42"/>
      <c r="L16" s="42"/>
      <c r="M16" s="42"/>
      <c r="N16" s="42"/>
      <c r="O16" s="42"/>
    </row>
    <row r="17" spans="1:15" x14ac:dyDescent="0.2">
      <c r="A17" s="40"/>
      <c r="B17" s="40" t="s">
        <v>77</v>
      </c>
      <c r="C17" s="68">
        <v>1612</v>
      </c>
      <c r="D17" s="42"/>
      <c r="E17" s="43">
        <v>2151.42</v>
      </c>
      <c r="F17" s="43">
        <v>-2091.42</v>
      </c>
      <c r="G17" s="42">
        <f t="shared" ref="G17:G23" si="0">SUM(D17:F17)</f>
        <v>60</v>
      </c>
      <c r="H17" s="42" t="s">
        <v>215</v>
      </c>
      <c r="I17" s="43">
        <v>0</v>
      </c>
      <c r="J17" s="43">
        <v>0</v>
      </c>
      <c r="K17" s="42">
        <f t="shared" ref="K17:K23" si="1">SUM(I17:J17)</f>
        <v>0</v>
      </c>
      <c r="L17" s="42"/>
      <c r="M17" s="42">
        <f t="shared" ref="M17:O22" si="2">E17-I17</f>
        <v>2151.42</v>
      </c>
      <c r="N17" s="42">
        <f t="shared" si="2"/>
        <v>-2091.42</v>
      </c>
      <c r="O17" s="48">
        <f t="shared" si="2"/>
        <v>60</v>
      </c>
    </row>
    <row r="18" spans="1:15" x14ac:dyDescent="0.2">
      <c r="A18" s="40"/>
      <c r="B18" s="40" t="s">
        <v>57</v>
      </c>
      <c r="C18" s="68">
        <v>1616</v>
      </c>
      <c r="D18" s="42"/>
      <c r="E18" s="43">
        <v>3220.53</v>
      </c>
      <c r="F18" s="43">
        <v>-3914.43</v>
      </c>
      <c r="G18" s="42">
        <f>SUM(D18:F18)</f>
        <v>-693.89999999999964</v>
      </c>
      <c r="H18" s="42" t="s">
        <v>215</v>
      </c>
      <c r="I18" s="43">
        <v>0</v>
      </c>
      <c r="J18" s="43">
        <f>+-ROUND(SUM(' budget items'!E14:E24),-3)+500</f>
        <v>-3500</v>
      </c>
      <c r="K18" s="42">
        <f>SUM(I18:J18)</f>
        <v>-3500</v>
      </c>
      <c r="L18" s="42"/>
      <c r="M18" s="42">
        <f t="shared" ref="M18:O19" si="3">E18-I18</f>
        <v>3220.53</v>
      </c>
      <c r="N18" s="42">
        <f t="shared" si="3"/>
        <v>-414.42999999999984</v>
      </c>
      <c r="O18" s="48">
        <f t="shared" si="3"/>
        <v>2806.1000000000004</v>
      </c>
    </row>
    <row r="19" spans="1:15" x14ac:dyDescent="0.2">
      <c r="A19" s="40"/>
      <c r="B19" s="40" t="s">
        <v>141</v>
      </c>
      <c r="C19" s="68" t="s">
        <v>36</v>
      </c>
      <c r="D19" s="42"/>
      <c r="E19" s="43">
        <v>0</v>
      </c>
      <c r="F19" s="43">
        <v>0</v>
      </c>
      <c r="G19" s="42">
        <f>SUM(D19:F19)</f>
        <v>0</v>
      </c>
      <c r="H19" s="42"/>
      <c r="I19" s="43">
        <v>0</v>
      </c>
      <c r="J19" s="43">
        <v>-500</v>
      </c>
      <c r="K19" s="42">
        <f>SUM(I19:J19)</f>
        <v>-500</v>
      </c>
      <c r="L19" s="42"/>
      <c r="M19" s="42">
        <f t="shared" si="3"/>
        <v>0</v>
      </c>
      <c r="N19" s="42">
        <f t="shared" si="3"/>
        <v>500</v>
      </c>
      <c r="O19" s="48">
        <f t="shared" si="3"/>
        <v>500</v>
      </c>
    </row>
    <row r="20" spans="1:15" x14ac:dyDescent="0.2">
      <c r="A20" s="40"/>
      <c r="B20" s="40" t="s">
        <v>205</v>
      </c>
      <c r="C20" s="68">
        <v>1623</v>
      </c>
      <c r="D20" s="42"/>
      <c r="E20" s="43">
        <v>742.97</v>
      </c>
      <c r="F20" s="43">
        <v>-742.97</v>
      </c>
      <c r="G20" s="42">
        <f t="shared" ref="G20" si="4">SUM(D20:F20)</f>
        <v>0</v>
      </c>
      <c r="H20" s="42"/>
      <c r="I20" s="43">
        <v>0</v>
      </c>
      <c r="J20" s="43">
        <f>+-' budget items'!E1-' budget items'!E2-' budget items'!E10+50+200+50</f>
        <v>-750</v>
      </c>
      <c r="K20" s="42">
        <f t="shared" ref="K20" si="5">SUM(I20:J20)</f>
        <v>-750</v>
      </c>
      <c r="L20" s="42"/>
      <c r="M20" s="42">
        <f t="shared" ref="M20" si="6">E20-I20</f>
        <v>742.97</v>
      </c>
      <c r="N20" s="42">
        <f t="shared" ref="N20" si="7">F20-J20</f>
        <v>7.0299999999999727</v>
      </c>
      <c r="O20" s="48">
        <f t="shared" ref="O20" si="8">G20-K20</f>
        <v>750</v>
      </c>
    </row>
    <row r="21" spans="1:15" x14ac:dyDescent="0.2">
      <c r="A21" s="40"/>
      <c r="B21" s="40" t="s">
        <v>206</v>
      </c>
      <c r="C21" s="68">
        <v>1624</v>
      </c>
      <c r="D21" s="42"/>
      <c r="E21" s="43">
        <v>958.26</v>
      </c>
      <c r="F21" s="43">
        <v>-621.86</v>
      </c>
      <c r="G21" s="42">
        <f t="shared" ref="G21" si="9">SUM(D21:F21)</f>
        <v>336.4</v>
      </c>
      <c r="H21" s="42" t="s">
        <v>215</v>
      </c>
      <c r="I21" s="43">
        <v>0</v>
      </c>
      <c r="J21" s="43">
        <v>0</v>
      </c>
      <c r="K21" s="42">
        <f t="shared" ref="K21" si="10">SUM(I21:J21)</f>
        <v>0</v>
      </c>
      <c r="L21" s="42"/>
      <c r="M21" s="42">
        <f t="shared" ref="M21" si="11">E21-I21</f>
        <v>958.26</v>
      </c>
      <c r="N21" s="42">
        <f t="shared" ref="N21" si="12">F21-J21</f>
        <v>-621.86</v>
      </c>
      <c r="O21" s="48">
        <f t="shared" ref="O21" si="13">G21-K21</f>
        <v>336.4</v>
      </c>
    </row>
    <row r="22" spans="1:15" x14ac:dyDescent="0.2">
      <c r="A22" s="40"/>
      <c r="B22" s="40" t="s">
        <v>91</v>
      </c>
      <c r="C22" s="68">
        <v>1613</v>
      </c>
      <c r="D22" s="42"/>
      <c r="E22" s="43">
        <v>69.849999999999994</v>
      </c>
      <c r="F22" s="43">
        <v>-69.849999999999994</v>
      </c>
      <c r="G22" s="42">
        <f t="shared" si="0"/>
        <v>0</v>
      </c>
      <c r="H22" s="42" t="s">
        <v>152</v>
      </c>
      <c r="I22" s="43">
        <v>0</v>
      </c>
      <c r="J22" s="43">
        <v>-500</v>
      </c>
      <c r="K22" s="42">
        <f t="shared" si="1"/>
        <v>-500</v>
      </c>
      <c r="L22" s="42"/>
      <c r="M22" s="42">
        <f t="shared" si="2"/>
        <v>69.849999999999994</v>
      </c>
      <c r="N22" s="42">
        <f t="shared" si="2"/>
        <v>430.15</v>
      </c>
      <c r="O22" s="48">
        <f t="shared" si="2"/>
        <v>500</v>
      </c>
    </row>
    <row r="23" spans="1:15" x14ac:dyDescent="0.2">
      <c r="A23" s="40"/>
      <c r="B23" s="40" t="s">
        <v>99</v>
      </c>
      <c r="C23" s="68" t="s">
        <v>36</v>
      </c>
      <c r="D23" s="42"/>
      <c r="E23" s="43">
        <v>0</v>
      </c>
      <c r="F23" s="43">
        <v>0</v>
      </c>
      <c r="G23" s="42">
        <f t="shared" si="0"/>
        <v>0</v>
      </c>
      <c r="H23" s="42"/>
      <c r="I23" s="43">
        <v>0</v>
      </c>
      <c r="J23" s="43">
        <v>0</v>
      </c>
      <c r="K23" s="42">
        <f t="shared" si="1"/>
        <v>0</v>
      </c>
      <c r="L23" s="42"/>
      <c r="M23" s="42">
        <f t="shared" ref="M23:O23" si="14">E23-I23</f>
        <v>0</v>
      </c>
      <c r="N23" s="42">
        <f t="shared" si="14"/>
        <v>0</v>
      </c>
      <c r="O23" s="48">
        <f t="shared" si="14"/>
        <v>0</v>
      </c>
    </row>
    <row r="24" spans="1:15" ht="5.0999999999999996" customHeight="1" x14ac:dyDescent="0.2">
      <c r="A24" s="40"/>
      <c r="B24" s="40"/>
      <c r="C24" s="68"/>
      <c r="D24" s="42"/>
      <c r="E24" s="43"/>
      <c r="F24" s="43"/>
      <c r="G24" s="42"/>
      <c r="H24" s="42"/>
      <c r="I24" s="43"/>
      <c r="J24" s="43"/>
      <c r="K24" s="42"/>
      <c r="L24" s="42"/>
      <c r="M24" s="42"/>
      <c r="N24" s="42"/>
      <c r="O24" s="48"/>
    </row>
    <row r="25" spans="1:15" x14ac:dyDescent="0.2">
      <c r="A25" s="40"/>
      <c r="B25" s="40"/>
      <c r="C25" s="68"/>
      <c r="D25" s="57"/>
      <c r="E25" s="58">
        <f>SUM(E17:E24)</f>
        <v>7143.0300000000016</v>
      </c>
      <c r="F25" s="58">
        <f>SUM(F17:F24)</f>
        <v>-7440.5300000000007</v>
      </c>
      <c r="G25" s="57">
        <f>SUM(G17:G24)</f>
        <v>-297.49999999999966</v>
      </c>
      <c r="H25" s="57"/>
      <c r="I25" s="58">
        <f>SUM(I17:I24)</f>
        <v>0</v>
      </c>
      <c r="J25" s="58">
        <f>SUM(J17:J24)</f>
        <v>-5250</v>
      </c>
      <c r="K25" s="57">
        <f>SUM(K17:K24)</f>
        <v>-5250</v>
      </c>
      <c r="L25" s="57"/>
      <c r="M25" s="57">
        <f>SUM(M17:M24)</f>
        <v>7143.0300000000016</v>
      </c>
      <c r="N25" s="57">
        <f>SUM(N17:N24)</f>
        <v>-2190.5299999999997</v>
      </c>
      <c r="O25" s="80">
        <f>SUM(O17:O24)</f>
        <v>4952.5</v>
      </c>
    </row>
    <row r="26" spans="1:15" x14ac:dyDescent="0.2">
      <c r="A26" s="40"/>
      <c r="B26" s="40"/>
      <c r="C26" s="68"/>
      <c r="D26" s="42"/>
      <c r="E26" s="43"/>
      <c r="F26" s="43"/>
      <c r="G26" s="42"/>
      <c r="H26" s="42"/>
      <c r="I26" s="43"/>
      <c r="J26" s="43"/>
      <c r="K26" s="42"/>
      <c r="L26" s="42"/>
      <c r="M26" s="42"/>
      <c r="N26" s="42"/>
      <c r="O26" s="42"/>
    </row>
    <row r="27" spans="1:15" ht="15.75" x14ac:dyDescent="0.25">
      <c r="A27" s="41" t="s">
        <v>22</v>
      </c>
      <c r="B27" s="40"/>
      <c r="C27" s="68"/>
      <c r="D27" s="42"/>
      <c r="E27" s="43"/>
      <c r="F27" s="43"/>
      <c r="G27" s="42"/>
      <c r="H27" s="42"/>
      <c r="I27" s="43"/>
      <c r="J27" s="43"/>
      <c r="K27" s="42"/>
      <c r="L27" s="42"/>
      <c r="M27" s="42"/>
      <c r="N27" s="42"/>
      <c r="O27" s="42"/>
    </row>
    <row r="28" spans="1:15" x14ac:dyDescent="0.2">
      <c r="A28" s="40"/>
      <c r="B28" s="40" t="s">
        <v>55</v>
      </c>
      <c r="C28" s="68">
        <v>1503</v>
      </c>
      <c r="D28" s="42">
        <v>135.6</v>
      </c>
      <c r="E28" s="43">
        <v>2212.6</v>
      </c>
      <c r="F28" s="43">
        <v>-2495.38</v>
      </c>
      <c r="G28" s="42">
        <f>SUM(D28:F28)</f>
        <v>-147.18000000000029</v>
      </c>
      <c r="H28" s="42" t="s">
        <v>215</v>
      </c>
      <c r="I28" s="43">
        <v>0</v>
      </c>
      <c r="J28" s="43">
        <v>-2000</v>
      </c>
      <c r="K28" s="42">
        <f>SUM(I28:J28)</f>
        <v>-2000</v>
      </c>
      <c r="L28" s="42"/>
      <c r="M28" s="42">
        <f>E28-I28</f>
        <v>2212.6</v>
      </c>
      <c r="N28" s="42">
        <f>F28-J28</f>
        <v>-495.38000000000011</v>
      </c>
      <c r="O28" s="42">
        <f>SUM(L28:N28)</f>
        <v>1717.2199999999998</v>
      </c>
    </row>
    <row r="29" spans="1:15" x14ac:dyDescent="0.2">
      <c r="A29" s="40"/>
      <c r="B29" s="40" t="s">
        <v>139</v>
      </c>
      <c r="C29" s="68">
        <v>5503</v>
      </c>
      <c r="D29" s="42"/>
      <c r="E29" s="43">
        <v>41344.81</v>
      </c>
      <c r="F29" s="43">
        <v>-35688.33</v>
      </c>
      <c r="G29" s="42">
        <f>SUM(D29:F29)</f>
        <v>5656.4799999999959</v>
      </c>
      <c r="H29" s="92" t="s">
        <v>216</v>
      </c>
      <c r="I29" s="88">
        <f>+Pizza_Revenue!G28</f>
        <v>55277.45</v>
      </c>
      <c r="J29" s="88">
        <f>+-Pizza_Revenue!G32-Pizza_Revenue!G33</f>
        <v>-35525</v>
      </c>
      <c r="K29" s="42">
        <f>SUM(I29:J29)</f>
        <v>19752.449999999997</v>
      </c>
      <c r="L29" s="42"/>
      <c r="M29" s="42">
        <f>E29-I29</f>
        <v>-13932.64</v>
      </c>
      <c r="N29" s="42">
        <f>F29-J29</f>
        <v>-163.33000000000175</v>
      </c>
      <c r="O29" s="48">
        <f>G29-K29</f>
        <v>-14095.970000000001</v>
      </c>
    </row>
    <row r="30" spans="1:15" x14ac:dyDescent="0.2">
      <c r="A30" s="40"/>
      <c r="B30" s="40" t="s">
        <v>23</v>
      </c>
      <c r="C30" s="68">
        <v>4501</v>
      </c>
      <c r="D30" s="42">
        <v>26795.42</v>
      </c>
      <c r="E30" s="43">
        <f>2125+1655+1840+140+9530+1580</f>
        <v>16870</v>
      </c>
      <c r="F30" s="43">
        <f>-82419.53+55624.11-16870</f>
        <v>-43665.42</v>
      </c>
      <c r="G30" s="42">
        <f>SUM(D30:F30)</f>
        <v>0</v>
      </c>
      <c r="H30" s="42"/>
      <c r="I30" s="43">
        <v>15500</v>
      </c>
      <c r="J30" s="43">
        <v>0</v>
      </c>
      <c r="K30" s="42">
        <f>SUM(I30:J30)</f>
        <v>15500</v>
      </c>
      <c r="L30" s="42"/>
      <c r="M30" s="42">
        <f t="shared" ref="M30:O30" si="15">E30-I30</f>
        <v>1370</v>
      </c>
      <c r="N30" s="42">
        <f t="shared" si="15"/>
        <v>-43665.42</v>
      </c>
      <c r="O30" s="48">
        <f t="shared" si="15"/>
        <v>-15500</v>
      </c>
    </row>
    <row r="31" spans="1:15" x14ac:dyDescent="0.2">
      <c r="A31" s="40"/>
      <c r="B31" s="40" t="s">
        <v>47</v>
      </c>
      <c r="C31" s="68">
        <v>5500</v>
      </c>
      <c r="D31" s="42">
        <v>40.450000000000003</v>
      </c>
      <c r="E31" s="43">
        <v>0</v>
      </c>
      <c r="F31" s="43">
        <v>-40.450000000000003</v>
      </c>
      <c r="G31" s="42">
        <f>SUM(D31:F31)</f>
        <v>0</v>
      </c>
      <c r="H31" s="42" t="s">
        <v>215</v>
      </c>
      <c r="I31" s="43">
        <v>0</v>
      </c>
      <c r="J31" s="43">
        <v>0</v>
      </c>
      <c r="K31" s="42">
        <f>SUM(I31:J31)</f>
        <v>0</v>
      </c>
      <c r="L31" s="42"/>
      <c r="M31" s="42">
        <f>E31-I31</f>
        <v>0</v>
      </c>
      <c r="N31" s="42">
        <f>F31-J31</f>
        <v>-40.450000000000003</v>
      </c>
      <c r="O31" s="42">
        <f>SUM(L31:N31)</f>
        <v>-40.450000000000003</v>
      </c>
    </row>
    <row r="32" spans="1:15" ht="4.5" customHeight="1" x14ac:dyDescent="0.2">
      <c r="A32" s="40"/>
      <c r="B32" s="40"/>
      <c r="C32" s="68"/>
      <c r="D32" s="42"/>
      <c r="E32" s="43"/>
      <c r="F32" s="43"/>
      <c r="G32" s="42"/>
      <c r="H32" s="42"/>
      <c r="I32" s="43"/>
      <c r="J32" s="43"/>
      <c r="K32" s="42"/>
      <c r="L32" s="42"/>
      <c r="M32" s="42"/>
      <c r="N32" s="42"/>
      <c r="O32" s="48"/>
    </row>
    <row r="33" spans="1:15" x14ac:dyDescent="0.2">
      <c r="A33" s="40"/>
      <c r="B33" s="40"/>
      <c r="C33" s="68"/>
      <c r="D33" s="57">
        <f>SUM(D28:D32)</f>
        <v>26971.469999999998</v>
      </c>
      <c r="E33" s="58">
        <f>SUM(E28:E32)</f>
        <v>60427.409999999996</v>
      </c>
      <c r="F33" s="58">
        <f>SUM(F28:F32)</f>
        <v>-81889.58</v>
      </c>
      <c r="G33" s="60">
        <f>SUM(G28:G32)</f>
        <v>5509.2999999999956</v>
      </c>
      <c r="H33" s="60"/>
      <c r="I33" s="58">
        <f>SUM(I28:I32)</f>
        <v>70777.45</v>
      </c>
      <c r="J33" s="58">
        <f>SUM(J28:J32)</f>
        <v>-37525</v>
      </c>
      <c r="K33" s="60">
        <f>SUM(K28:K32)</f>
        <v>33252.449999999997</v>
      </c>
      <c r="L33" s="57"/>
      <c r="M33" s="57">
        <f t="shared" ref="M33:O33" si="16">SUM(M28:M32)</f>
        <v>-10350.039999999999</v>
      </c>
      <c r="N33" s="57">
        <f t="shared" si="16"/>
        <v>-44364.579999999994</v>
      </c>
      <c r="O33" s="80">
        <f t="shared" si="16"/>
        <v>-27919.200000000001</v>
      </c>
    </row>
    <row r="34" spans="1:15" x14ac:dyDescent="0.2">
      <c r="A34" s="40"/>
      <c r="B34" s="40"/>
      <c r="C34" s="68"/>
      <c r="D34" s="42"/>
      <c r="E34" s="43"/>
      <c r="F34" s="43"/>
      <c r="G34" s="42"/>
      <c r="H34" s="42"/>
      <c r="I34" s="43"/>
      <c r="J34" s="43"/>
      <c r="K34" s="42"/>
      <c r="L34" s="42"/>
      <c r="M34" s="42"/>
      <c r="N34" s="42"/>
      <c r="O34" s="42"/>
    </row>
    <row r="35" spans="1:15" ht="15.75" x14ac:dyDescent="0.25">
      <c r="A35" s="41" t="s">
        <v>101</v>
      </c>
      <c r="B35" s="40"/>
      <c r="C35" s="68"/>
      <c r="D35" s="42"/>
      <c r="E35" s="43"/>
      <c r="F35" s="43"/>
      <c r="G35" s="42"/>
      <c r="H35" s="42"/>
      <c r="I35" s="43"/>
      <c r="J35" s="43"/>
      <c r="K35" s="42"/>
      <c r="L35" s="42"/>
      <c r="M35" s="42"/>
      <c r="N35" s="42"/>
      <c r="O35" s="42"/>
    </row>
    <row r="36" spans="1:15" x14ac:dyDescent="0.2">
      <c r="A36" s="40"/>
      <c r="B36" s="40" t="s">
        <v>28</v>
      </c>
      <c r="C36" s="68">
        <v>1601</v>
      </c>
      <c r="D36" s="42"/>
      <c r="E36" s="43">
        <v>50</v>
      </c>
      <c r="F36" s="43">
        <v>-50</v>
      </c>
      <c r="G36" s="42">
        <f>SUM(D36:F36)</f>
        <v>0</v>
      </c>
      <c r="H36" s="42"/>
      <c r="I36" s="43">
        <v>0</v>
      </c>
      <c r="J36" s="43">
        <f>+ROUND('2016_17actvs2016_17budsept2917'!F34,-2)</f>
        <v>-100</v>
      </c>
      <c r="K36" s="42">
        <f>SUM(I36:J36)</f>
        <v>-100</v>
      </c>
      <c r="L36" s="42"/>
      <c r="M36" s="42">
        <f>E36-I36</f>
        <v>50</v>
      </c>
      <c r="N36" s="42">
        <f>F36-J36</f>
        <v>50</v>
      </c>
      <c r="O36" s="42">
        <f>SUM(L36:N36)</f>
        <v>100</v>
      </c>
    </row>
    <row r="37" spans="1:15" x14ac:dyDescent="0.2">
      <c r="A37" s="40"/>
      <c r="B37" s="40" t="s">
        <v>94</v>
      </c>
      <c r="C37" s="68">
        <v>1516</v>
      </c>
      <c r="D37" s="42"/>
      <c r="E37" s="43">
        <v>263.97000000000003</v>
      </c>
      <c r="F37" s="43">
        <v>-263.97000000000003</v>
      </c>
      <c r="G37" s="42">
        <f t="shared" ref="G37:G49" si="17">SUM(D37:F37)</f>
        <v>0</v>
      </c>
      <c r="H37" s="42"/>
      <c r="I37" s="43">
        <v>0</v>
      </c>
      <c r="J37" s="43">
        <v>-500</v>
      </c>
      <c r="K37" s="42">
        <f t="shared" ref="K37:K46" si="18">SUM(I37:J37)</f>
        <v>-500</v>
      </c>
      <c r="L37" s="42"/>
      <c r="M37" s="42">
        <f t="shared" ref="M37" si="19">E37-I37</f>
        <v>263.97000000000003</v>
      </c>
      <c r="N37" s="42">
        <f t="shared" ref="N37" si="20">F37-J37</f>
        <v>236.02999999999997</v>
      </c>
      <c r="O37" s="42">
        <f t="shared" ref="O37" si="21">SUM(L37:N37)</f>
        <v>500</v>
      </c>
    </row>
    <row r="38" spans="1:15" x14ac:dyDescent="0.2">
      <c r="A38" s="40"/>
      <c r="B38" s="40" t="s">
        <v>212</v>
      </c>
      <c r="C38" s="68">
        <v>1617</v>
      </c>
      <c r="D38" s="42"/>
      <c r="E38" s="43">
        <v>90.4</v>
      </c>
      <c r="F38" s="43">
        <v>-90.4</v>
      </c>
      <c r="G38" s="42">
        <f>SUM(D38:F38)</f>
        <v>0</v>
      </c>
      <c r="H38" s="42"/>
      <c r="I38" s="43">
        <v>1000</v>
      </c>
      <c r="J38" s="43">
        <v>-1300</v>
      </c>
      <c r="K38" s="42">
        <f>SUM(I38:J38)</f>
        <v>-300</v>
      </c>
      <c r="L38" s="42"/>
      <c r="M38" s="42">
        <f t="shared" ref="M38:M52" si="22">E38-I38</f>
        <v>-909.6</v>
      </c>
      <c r="N38" s="42">
        <f t="shared" ref="N38:N52" si="23">F38-J38</f>
        <v>1209.5999999999999</v>
      </c>
      <c r="O38" s="42">
        <f t="shared" ref="O38:O52" si="24">SUM(L38:N38)</f>
        <v>299.99999999999989</v>
      </c>
    </row>
    <row r="39" spans="1:15" x14ac:dyDescent="0.2">
      <c r="A39" s="40"/>
      <c r="B39" s="40" t="s">
        <v>30</v>
      </c>
      <c r="C39" s="68">
        <v>1517</v>
      </c>
      <c r="D39" s="42">
        <v>765.93</v>
      </c>
      <c r="E39" s="43">
        <v>0</v>
      </c>
      <c r="F39" s="43">
        <v>-342.06</v>
      </c>
      <c r="G39" s="42">
        <f t="shared" si="17"/>
        <v>423.86999999999995</v>
      </c>
      <c r="H39" s="42" t="s">
        <v>215</v>
      </c>
      <c r="I39" s="43">
        <v>0</v>
      </c>
      <c r="J39" s="43">
        <f>ROUND('2016_17actvs2016_17budsept2917'!G36,-2)</f>
        <v>-200</v>
      </c>
      <c r="K39" s="42">
        <f t="shared" si="18"/>
        <v>-200</v>
      </c>
      <c r="L39" s="42"/>
      <c r="M39" s="42">
        <f t="shared" si="22"/>
        <v>0</v>
      </c>
      <c r="N39" s="42">
        <f t="shared" si="23"/>
        <v>-142.06</v>
      </c>
      <c r="O39" s="42">
        <f t="shared" si="24"/>
        <v>-142.06</v>
      </c>
    </row>
    <row r="40" spans="1:15" x14ac:dyDescent="0.2">
      <c r="A40" s="61"/>
      <c r="B40" s="40" t="s">
        <v>92</v>
      </c>
      <c r="C40" s="68">
        <v>1600</v>
      </c>
      <c r="D40" s="42"/>
      <c r="E40" s="43">
        <v>1909.88</v>
      </c>
      <c r="F40" s="43">
        <v>-1911.99</v>
      </c>
      <c r="G40" s="42">
        <f t="shared" si="17"/>
        <v>-2.1099999999999</v>
      </c>
      <c r="H40" s="42" t="s">
        <v>215</v>
      </c>
      <c r="I40" s="43">
        <v>0</v>
      </c>
      <c r="J40" s="43">
        <f>ROUND('2016_17actvs2016_17budsept2917'!G37,-2)</f>
        <v>-600</v>
      </c>
      <c r="K40" s="42">
        <f t="shared" si="18"/>
        <v>-600</v>
      </c>
      <c r="L40" s="42"/>
      <c r="M40" s="42">
        <f t="shared" si="22"/>
        <v>1909.88</v>
      </c>
      <c r="N40" s="42">
        <f t="shared" si="23"/>
        <v>-1311.99</v>
      </c>
      <c r="O40" s="42">
        <f t="shared" si="24"/>
        <v>597.8900000000001</v>
      </c>
    </row>
    <row r="41" spans="1:15" x14ac:dyDescent="0.2">
      <c r="A41" s="40"/>
      <c r="B41" s="40" t="s">
        <v>32</v>
      </c>
      <c r="C41" s="68">
        <v>1603</v>
      </c>
      <c r="D41" s="42"/>
      <c r="E41" s="43">
        <v>2356</v>
      </c>
      <c r="F41" s="43">
        <v>-1993.79</v>
      </c>
      <c r="G41" s="42">
        <f t="shared" si="17"/>
        <v>362.21000000000004</v>
      </c>
      <c r="H41" s="42" t="s">
        <v>215</v>
      </c>
      <c r="I41" s="43">
        <v>0</v>
      </c>
      <c r="J41" s="43">
        <v>0</v>
      </c>
      <c r="K41" s="42">
        <f t="shared" si="18"/>
        <v>0</v>
      </c>
      <c r="L41" s="42"/>
      <c r="M41" s="42">
        <f t="shared" si="22"/>
        <v>2356</v>
      </c>
      <c r="N41" s="42">
        <f t="shared" si="23"/>
        <v>-1993.79</v>
      </c>
      <c r="O41" s="42">
        <f t="shared" si="24"/>
        <v>362.21000000000004</v>
      </c>
    </row>
    <row r="42" spans="1:15" x14ac:dyDescent="0.2">
      <c r="A42" s="40"/>
      <c r="B42" s="40" t="s">
        <v>102</v>
      </c>
      <c r="C42" s="68" t="s">
        <v>36</v>
      </c>
      <c r="D42" s="42"/>
      <c r="E42" s="43">
        <v>0</v>
      </c>
      <c r="F42" s="43">
        <v>0</v>
      </c>
      <c r="G42" s="42">
        <f>SUM(D42:F42)</f>
        <v>0</v>
      </c>
      <c r="H42" s="42"/>
      <c r="I42" s="43">
        <v>0</v>
      </c>
      <c r="J42" s="43">
        <v>-400</v>
      </c>
      <c r="K42" s="42">
        <f>SUM(I42:J42)</f>
        <v>-400</v>
      </c>
      <c r="L42" s="42"/>
      <c r="M42" s="42">
        <f t="shared" si="22"/>
        <v>0</v>
      </c>
      <c r="N42" s="42">
        <f t="shared" si="23"/>
        <v>400</v>
      </c>
      <c r="O42" s="42">
        <f t="shared" si="24"/>
        <v>400</v>
      </c>
    </row>
    <row r="43" spans="1:15" x14ac:dyDescent="0.2">
      <c r="A43" s="40"/>
      <c r="B43" s="40" t="s">
        <v>157</v>
      </c>
      <c r="C43" s="68">
        <v>1602</v>
      </c>
      <c r="D43" s="42"/>
      <c r="E43" s="43">
        <v>20</v>
      </c>
      <c r="F43" s="43">
        <v>-20</v>
      </c>
      <c r="G43" s="42">
        <f>SUM(D43:F43)</f>
        <v>0</v>
      </c>
      <c r="H43" s="42"/>
      <c r="I43" s="43">
        <v>0</v>
      </c>
      <c r="J43" s="43">
        <v>0</v>
      </c>
      <c r="K43" s="42">
        <f>SUM(I43:J43)</f>
        <v>0</v>
      </c>
      <c r="L43" s="42"/>
      <c r="M43" s="42">
        <f t="shared" ref="M43" si="25">E43-I43</f>
        <v>20</v>
      </c>
      <c r="N43" s="42">
        <f t="shared" ref="N43" si="26">F43-J43</f>
        <v>-20</v>
      </c>
      <c r="O43" s="42">
        <f t="shared" ref="O43" si="27">SUM(L43:N43)</f>
        <v>0</v>
      </c>
    </row>
    <row r="44" spans="1:15" x14ac:dyDescent="0.2">
      <c r="A44" s="40"/>
      <c r="B44" s="40" t="s">
        <v>142</v>
      </c>
      <c r="C44" s="68">
        <v>1637</v>
      </c>
      <c r="D44" s="42"/>
      <c r="E44" s="43">
        <v>400</v>
      </c>
      <c r="F44" s="43">
        <f>-400</f>
        <v>-400</v>
      </c>
      <c r="G44" s="42">
        <f t="shared" si="17"/>
        <v>0</v>
      </c>
      <c r="H44" s="42"/>
      <c r="I44" s="43">
        <v>0</v>
      </c>
      <c r="J44" s="43">
        <f>ROUND('2016_17actvs2016_17budsept2917'!F42,-2)</f>
        <v>-500</v>
      </c>
      <c r="K44" s="42">
        <f t="shared" si="18"/>
        <v>-500</v>
      </c>
      <c r="L44" s="42"/>
      <c r="M44" s="42">
        <f t="shared" si="22"/>
        <v>400</v>
      </c>
      <c r="N44" s="42">
        <f t="shared" si="23"/>
        <v>100</v>
      </c>
      <c r="O44" s="42">
        <f t="shared" si="24"/>
        <v>500</v>
      </c>
    </row>
    <row r="45" spans="1:15" x14ac:dyDescent="0.2">
      <c r="A45" s="40"/>
      <c r="B45" s="40" t="s">
        <v>98</v>
      </c>
      <c r="C45" s="68" t="s">
        <v>36</v>
      </c>
      <c r="D45" s="42"/>
      <c r="E45" s="43">
        <v>0</v>
      </c>
      <c r="F45" s="43">
        <v>0</v>
      </c>
      <c r="G45" s="42">
        <f t="shared" si="17"/>
        <v>0</v>
      </c>
      <c r="H45" s="42"/>
      <c r="I45" s="43">
        <v>0</v>
      </c>
      <c r="J45" s="43">
        <f>ROUND('2016_17actvs2016_17budsept2917'!F41,-2)</f>
        <v>-100</v>
      </c>
      <c r="K45" s="42">
        <f t="shared" si="18"/>
        <v>-100</v>
      </c>
      <c r="L45" s="42"/>
      <c r="M45" s="42">
        <f t="shared" si="22"/>
        <v>0</v>
      </c>
      <c r="N45" s="42">
        <f t="shared" si="23"/>
        <v>100</v>
      </c>
      <c r="O45" s="42">
        <f t="shared" si="24"/>
        <v>100</v>
      </c>
    </row>
    <row r="46" spans="1:15" x14ac:dyDescent="0.2">
      <c r="A46" s="40"/>
      <c r="B46" s="40" t="s">
        <v>95</v>
      </c>
      <c r="C46" s="68">
        <v>5000</v>
      </c>
      <c r="D46" s="42"/>
      <c r="E46" s="43">
        <v>0</v>
      </c>
      <c r="F46" s="43">
        <v>0</v>
      </c>
      <c r="G46" s="42">
        <f t="shared" si="17"/>
        <v>0</v>
      </c>
      <c r="H46" s="42"/>
      <c r="I46" s="43">
        <v>0</v>
      </c>
      <c r="J46" s="43">
        <f>ROUND('2016_17actvs2016_17budsept2917'!F42,-2)</f>
        <v>-500</v>
      </c>
      <c r="K46" s="42">
        <f t="shared" si="18"/>
        <v>-500</v>
      </c>
      <c r="L46" s="42"/>
      <c r="M46" s="42">
        <f t="shared" si="22"/>
        <v>0</v>
      </c>
      <c r="N46" s="42">
        <f t="shared" si="23"/>
        <v>500</v>
      </c>
      <c r="O46" s="42">
        <f t="shared" si="24"/>
        <v>500</v>
      </c>
    </row>
    <row r="47" spans="1:15" x14ac:dyDescent="0.2">
      <c r="A47" s="40"/>
      <c r="B47" s="40" t="s">
        <v>96</v>
      </c>
      <c r="C47" s="68">
        <v>1622</v>
      </c>
      <c r="D47" s="42"/>
      <c r="E47" s="43">
        <v>839.35</v>
      </c>
      <c r="F47" s="43">
        <v>-1199.94</v>
      </c>
      <c r="G47" s="42">
        <f>SUM(D47:F47)</f>
        <v>-360.59000000000003</v>
      </c>
      <c r="H47" s="42" t="s">
        <v>215</v>
      </c>
      <c r="I47" s="43">
        <v>0</v>
      </c>
      <c r="J47" s="43">
        <f>ROUND('2016_17actvs2016_17budsept2917'!F43,-2)/2</f>
        <v>-1200</v>
      </c>
      <c r="K47" s="42">
        <f>SUM(I47:J47)</f>
        <v>-1200</v>
      </c>
      <c r="L47" s="42"/>
      <c r="M47" s="42">
        <f t="shared" si="22"/>
        <v>839.35</v>
      </c>
      <c r="N47" s="42">
        <f t="shared" si="23"/>
        <v>5.999999999994543E-2</v>
      </c>
      <c r="O47" s="42">
        <f t="shared" si="24"/>
        <v>839.41</v>
      </c>
    </row>
    <row r="48" spans="1:15" x14ac:dyDescent="0.2">
      <c r="A48" s="40"/>
      <c r="B48" s="40" t="s">
        <v>97</v>
      </c>
      <c r="C48" s="68">
        <v>1456</v>
      </c>
      <c r="D48" s="42"/>
      <c r="E48" s="43">
        <v>1196.3599999999999</v>
      </c>
      <c r="F48" s="43">
        <v>-1196.3599999999999</v>
      </c>
      <c r="G48" s="42">
        <f t="shared" si="17"/>
        <v>0</v>
      </c>
      <c r="H48" s="42"/>
      <c r="I48" s="43">
        <v>0</v>
      </c>
      <c r="J48" s="43">
        <f>+J47</f>
        <v>-1200</v>
      </c>
      <c r="K48" s="42">
        <f>SUM(I48:J48)</f>
        <v>-1200</v>
      </c>
      <c r="L48" s="42"/>
      <c r="M48" s="42">
        <f t="shared" si="22"/>
        <v>1196.3599999999999</v>
      </c>
      <c r="N48" s="42">
        <f t="shared" si="23"/>
        <v>3.6400000000001</v>
      </c>
      <c r="O48" s="42">
        <f t="shared" si="24"/>
        <v>1200</v>
      </c>
    </row>
    <row r="49" spans="1:15" x14ac:dyDescent="0.2">
      <c r="A49" s="40"/>
      <c r="B49" s="40" t="s">
        <v>40</v>
      </c>
      <c r="C49" s="68">
        <v>1610</v>
      </c>
      <c r="D49" s="42">
        <v>587.6</v>
      </c>
      <c r="E49" s="43">
        <v>5300</v>
      </c>
      <c r="F49" s="43">
        <v>-6425.47</v>
      </c>
      <c r="G49" s="42">
        <f t="shared" si="17"/>
        <v>-537.86999999999989</v>
      </c>
      <c r="H49" s="42" t="s">
        <v>215</v>
      </c>
      <c r="I49" s="43">
        <v>0</v>
      </c>
      <c r="J49" s="43">
        <f>+ROUND('2016_17actvs2016_17budsept2917'!G45,-2)</f>
        <v>-1400</v>
      </c>
      <c r="K49" s="42">
        <f>SUM(I49:J49)</f>
        <v>-1400</v>
      </c>
      <c r="L49" s="42"/>
      <c r="M49" s="42">
        <f t="shared" si="22"/>
        <v>5300</v>
      </c>
      <c r="N49" s="42">
        <f t="shared" si="23"/>
        <v>-5025.47</v>
      </c>
      <c r="O49" s="42">
        <f t="shared" si="24"/>
        <v>274.52999999999975</v>
      </c>
    </row>
    <row r="50" spans="1:15" x14ac:dyDescent="0.2">
      <c r="A50" s="40"/>
      <c r="B50" s="40" t="s">
        <v>100</v>
      </c>
      <c r="C50" s="68">
        <v>1618</v>
      </c>
      <c r="D50" s="42"/>
      <c r="E50" s="43">
        <v>2816.45</v>
      </c>
      <c r="F50" s="43">
        <v>-2816.45</v>
      </c>
      <c r="G50" s="42">
        <f>SUM(D50:F50)</f>
        <v>0</v>
      </c>
      <c r="H50" s="42"/>
      <c r="I50" s="43">
        <v>0</v>
      </c>
      <c r="J50" s="43">
        <f>+ROUND('2016_17actvs2016_17budsept2917'!G23,-2)+50</f>
        <v>-1250</v>
      </c>
      <c r="K50" s="42">
        <f>SUM(I50:J50)</f>
        <v>-1250</v>
      </c>
      <c r="L50" s="42"/>
      <c r="M50" s="42">
        <f>E50-I50</f>
        <v>2816.45</v>
      </c>
      <c r="N50" s="42">
        <f>F50-J50</f>
        <v>-1566.4499999999998</v>
      </c>
      <c r="O50" s="42">
        <f>SUM(L50:N50)</f>
        <v>1250</v>
      </c>
    </row>
    <row r="51" spans="1:15" x14ac:dyDescent="0.2">
      <c r="A51" s="40"/>
      <c r="B51" s="40" t="s">
        <v>140</v>
      </c>
      <c r="C51" s="68">
        <v>1618</v>
      </c>
      <c r="D51" s="42"/>
      <c r="E51" s="43">
        <v>0</v>
      </c>
      <c r="F51" s="43">
        <v>0</v>
      </c>
      <c r="G51" s="42">
        <f t="shared" ref="G51" si="28">SUM(D51:F51)</f>
        <v>0</v>
      </c>
      <c r="H51" s="42"/>
      <c r="I51" s="43">
        <v>0</v>
      </c>
      <c r="J51" s="43">
        <v>0</v>
      </c>
      <c r="K51" s="42">
        <f t="shared" ref="K51" si="29">SUM(I51:J51)</f>
        <v>0</v>
      </c>
      <c r="L51" s="42"/>
      <c r="M51" s="42">
        <f>E51-I51</f>
        <v>0</v>
      </c>
      <c r="N51" s="42">
        <f>F51-J51</f>
        <v>0</v>
      </c>
      <c r="O51" s="42">
        <f>SUM(L51:N51)</f>
        <v>0</v>
      </c>
    </row>
    <row r="52" spans="1:15" x14ac:dyDescent="0.2">
      <c r="A52" s="40"/>
      <c r="B52" s="40" t="s">
        <v>103</v>
      </c>
      <c r="C52" s="68" t="s">
        <v>36</v>
      </c>
      <c r="D52" s="42"/>
      <c r="E52" s="43"/>
      <c r="F52" s="43">
        <v>0</v>
      </c>
      <c r="G52" s="42">
        <f>SUM(D52:F52)</f>
        <v>0</v>
      </c>
      <c r="H52" s="42"/>
      <c r="I52" s="43">
        <v>0</v>
      </c>
      <c r="J52" s="43">
        <v>0</v>
      </c>
      <c r="K52" s="42">
        <f>SUM(I52:J52)</f>
        <v>0</v>
      </c>
      <c r="L52" s="42"/>
      <c r="M52" s="42">
        <f t="shared" si="22"/>
        <v>0</v>
      </c>
      <c r="N52" s="42">
        <f t="shared" si="23"/>
        <v>0</v>
      </c>
      <c r="O52" s="42">
        <f t="shared" si="24"/>
        <v>0</v>
      </c>
    </row>
    <row r="53" spans="1:15" ht="5.0999999999999996" customHeight="1" x14ac:dyDescent="0.2">
      <c r="A53" s="40"/>
      <c r="B53" s="40"/>
      <c r="C53" s="68"/>
      <c r="D53" s="42"/>
      <c r="E53" s="43"/>
      <c r="F53" s="43"/>
      <c r="G53" s="42"/>
      <c r="H53" s="42"/>
      <c r="I53" s="43"/>
      <c r="J53" s="43"/>
      <c r="K53" s="42"/>
      <c r="L53" s="42"/>
      <c r="M53" s="42"/>
      <c r="N53" s="42"/>
      <c r="O53" s="48"/>
    </row>
    <row r="54" spans="1:15" x14ac:dyDescent="0.2">
      <c r="A54" s="40"/>
      <c r="B54" s="40"/>
      <c r="C54" s="68"/>
      <c r="D54" s="60">
        <f>SUM(D36:D53)</f>
        <v>1353.53</v>
      </c>
      <c r="E54" s="58">
        <f>SUM(E36:E53)</f>
        <v>15242.41</v>
      </c>
      <c r="F54" s="58">
        <f>SUM(F36:F53)</f>
        <v>-16710.43</v>
      </c>
      <c r="G54" s="60">
        <f>SUM(G36:G53)</f>
        <v>-114.4899999999999</v>
      </c>
      <c r="H54" s="60"/>
      <c r="I54" s="58">
        <f>SUM(I37:I53)</f>
        <v>1000</v>
      </c>
      <c r="J54" s="58">
        <f>SUM(J37:J53)</f>
        <v>-9150</v>
      </c>
      <c r="K54" s="60">
        <f>SUM(K37:K53)</f>
        <v>-8150</v>
      </c>
      <c r="L54" s="57"/>
      <c r="M54" s="57">
        <f>SUM(M37:M53)</f>
        <v>14192.41</v>
      </c>
      <c r="N54" s="57">
        <f>SUM(N37:N53)</f>
        <v>-7510.43</v>
      </c>
      <c r="O54" s="80">
        <f>SUM(O37:O53)</f>
        <v>6681.98</v>
      </c>
    </row>
    <row r="55" spans="1:15" x14ac:dyDescent="0.2">
      <c r="A55" s="40"/>
      <c r="B55" s="40"/>
      <c r="C55" s="68"/>
      <c r="D55" s="42"/>
      <c r="E55" s="43"/>
      <c r="F55" s="43"/>
      <c r="G55" s="42"/>
      <c r="H55" s="42"/>
      <c r="I55" s="43"/>
      <c r="J55" s="43"/>
      <c r="K55" s="42"/>
      <c r="L55" s="42"/>
      <c r="M55" s="42"/>
      <c r="N55" s="42"/>
      <c r="O55" s="42"/>
    </row>
    <row r="56" spans="1:15" ht="15.75" x14ac:dyDescent="0.25">
      <c r="A56" s="41" t="s">
        <v>41</v>
      </c>
      <c r="B56" s="40"/>
      <c r="C56" s="68"/>
      <c r="D56" s="42"/>
      <c r="E56" s="43"/>
      <c r="F56" s="43"/>
      <c r="G56" s="42"/>
      <c r="H56" s="42"/>
      <c r="I56" s="43"/>
      <c r="J56" s="43"/>
      <c r="K56" s="42"/>
      <c r="L56" s="42"/>
      <c r="M56" s="42"/>
      <c r="N56" s="42"/>
      <c r="O56" s="42"/>
    </row>
    <row r="57" spans="1:15" x14ac:dyDescent="0.2">
      <c r="A57" s="40"/>
      <c r="B57" s="40" t="s">
        <v>153</v>
      </c>
      <c r="C57" s="68">
        <v>2569</v>
      </c>
      <c r="D57" s="89"/>
      <c r="E57" s="43">
        <v>7505.34</v>
      </c>
      <c r="F57" s="43">
        <v>-8261.94</v>
      </c>
      <c r="G57" s="42">
        <f t="shared" ref="G57:G65" si="30">SUM(D57:F57)</f>
        <v>-756.60000000000036</v>
      </c>
      <c r="H57" s="42" t="s">
        <v>215</v>
      </c>
      <c r="I57" s="43">
        <v>0</v>
      </c>
      <c r="J57" s="43">
        <f>-13250/2</f>
        <v>-6625</v>
      </c>
      <c r="K57" s="42">
        <f t="shared" ref="K57:K65" si="31">SUM(I57:J57)</f>
        <v>-6625</v>
      </c>
      <c r="L57" s="42"/>
      <c r="M57" s="42">
        <f t="shared" ref="M57:N63" si="32">E57-I57</f>
        <v>7505.34</v>
      </c>
      <c r="N57" s="42">
        <f t="shared" si="32"/>
        <v>-1636.9400000000005</v>
      </c>
      <c r="O57" s="42">
        <f t="shared" ref="O57:O64" si="33">SUM(L57:N57)</f>
        <v>5868.4</v>
      </c>
    </row>
    <row r="58" spans="1:15" x14ac:dyDescent="0.2">
      <c r="A58" s="40"/>
      <c r="B58" s="40" t="s">
        <v>154</v>
      </c>
      <c r="C58" s="68">
        <v>2563</v>
      </c>
      <c r="D58" s="42"/>
      <c r="E58" s="43">
        <v>3081.08</v>
      </c>
      <c r="F58" s="43">
        <v>-3925.35</v>
      </c>
      <c r="G58" s="42">
        <f t="shared" si="30"/>
        <v>-844.27</v>
      </c>
      <c r="H58" s="42" t="s">
        <v>215</v>
      </c>
      <c r="I58" s="43">
        <v>0</v>
      </c>
      <c r="J58" s="43">
        <f>-13250/2</f>
        <v>-6625</v>
      </c>
      <c r="K58" s="42">
        <f t="shared" si="31"/>
        <v>-6625</v>
      </c>
      <c r="L58" s="42"/>
      <c r="M58" s="42">
        <f t="shared" si="32"/>
        <v>3081.08</v>
      </c>
      <c r="N58" s="42">
        <f t="shared" si="32"/>
        <v>2699.65</v>
      </c>
      <c r="O58" s="42">
        <f t="shared" si="33"/>
        <v>5780.73</v>
      </c>
    </row>
    <row r="59" spans="1:15" x14ac:dyDescent="0.2">
      <c r="A59" s="40"/>
      <c r="B59" s="40" t="s">
        <v>207</v>
      </c>
      <c r="C59" s="68">
        <v>1700</v>
      </c>
      <c r="D59" s="42"/>
      <c r="E59" s="43">
        <v>2499.61</v>
      </c>
      <c r="F59" s="43">
        <v>-2655.69</v>
      </c>
      <c r="G59" s="42">
        <f t="shared" si="30"/>
        <v>-156.07999999999993</v>
      </c>
      <c r="H59" s="42" t="s">
        <v>215</v>
      </c>
      <c r="I59" s="43">
        <v>0</v>
      </c>
      <c r="J59" s="43">
        <v>0</v>
      </c>
      <c r="K59" s="42">
        <f t="shared" ref="K59:K62" si="34">SUM(I59:J59)</f>
        <v>0</v>
      </c>
      <c r="L59" s="42"/>
      <c r="M59" s="42">
        <f t="shared" ref="M59:M62" si="35">E59-I59</f>
        <v>2499.61</v>
      </c>
      <c r="N59" s="42">
        <f t="shared" ref="N59:N62" si="36">F59-J59</f>
        <v>-2655.69</v>
      </c>
      <c r="O59" s="42">
        <f t="shared" ref="O59:O62" si="37">SUM(L59:N59)</f>
        <v>-156.07999999999993</v>
      </c>
    </row>
    <row r="60" spans="1:15" x14ac:dyDescent="0.2">
      <c r="A60" s="40"/>
      <c r="B60" s="40" t="s">
        <v>156</v>
      </c>
      <c r="C60" s="68">
        <v>1701</v>
      </c>
      <c r="D60" s="90"/>
      <c r="E60" s="43">
        <v>2263.87</v>
      </c>
      <c r="F60" s="43">
        <v>-2263.87</v>
      </c>
      <c r="G60" s="42">
        <f t="shared" ref="G60" si="38">SUM(D60:F60)</f>
        <v>0</v>
      </c>
      <c r="H60" s="42"/>
      <c r="I60" s="43">
        <v>0</v>
      </c>
      <c r="J60" s="43">
        <v>0</v>
      </c>
      <c r="K60" s="42">
        <f t="shared" ref="K60" si="39">SUM(I60:J60)</f>
        <v>0</v>
      </c>
      <c r="L60" s="42"/>
      <c r="M60" s="42">
        <f t="shared" ref="M60" si="40">E60-I60</f>
        <v>2263.87</v>
      </c>
      <c r="N60" s="42">
        <f t="shared" ref="N60" si="41">F60-J60</f>
        <v>-2263.87</v>
      </c>
      <c r="O60" s="42">
        <f t="shared" ref="O60" si="42">SUM(L60:N60)</f>
        <v>0</v>
      </c>
    </row>
    <row r="61" spans="1:15" x14ac:dyDescent="0.2">
      <c r="A61" s="40"/>
      <c r="B61" s="40" t="s">
        <v>208</v>
      </c>
      <c r="C61" s="68">
        <v>1703</v>
      </c>
      <c r="D61" s="42"/>
      <c r="E61" s="43">
        <v>2581.9899999999998</v>
      </c>
      <c r="F61" s="43">
        <v>-2581.9899999999998</v>
      </c>
      <c r="G61" s="42">
        <f t="shared" si="30"/>
        <v>0</v>
      </c>
      <c r="H61" s="42"/>
      <c r="I61" s="43">
        <v>0</v>
      </c>
      <c r="J61" s="43">
        <v>0</v>
      </c>
      <c r="K61" s="42">
        <f t="shared" si="34"/>
        <v>0</v>
      </c>
      <c r="L61" s="42"/>
      <c r="M61" s="42">
        <f t="shared" si="35"/>
        <v>2581.9899999999998</v>
      </c>
      <c r="N61" s="42">
        <f t="shared" si="36"/>
        <v>-2581.9899999999998</v>
      </c>
      <c r="O61" s="42">
        <f t="shared" si="37"/>
        <v>0</v>
      </c>
    </row>
    <row r="62" spans="1:15" x14ac:dyDescent="0.2">
      <c r="A62" s="40"/>
      <c r="B62" s="40" t="s">
        <v>209</v>
      </c>
      <c r="C62" s="68">
        <v>1702</v>
      </c>
      <c r="D62" s="42"/>
      <c r="E62" s="43">
        <v>2225.11</v>
      </c>
      <c r="F62" s="43">
        <v>-2225.11</v>
      </c>
      <c r="G62" s="42">
        <f t="shared" si="30"/>
        <v>0</v>
      </c>
      <c r="H62" s="42"/>
      <c r="I62" s="43">
        <v>0</v>
      </c>
      <c r="J62" s="43">
        <v>0</v>
      </c>
      <c r="K62" s="42">
        <f t="shared" si="34"/>
        <v>0</v>
      </c>
      <c r="L62" s="42"/>
      <c r="M62" s="42">
        <f t="shared" si="35"/>
        <v>2225.11</v>
      </c>
      <c r="N62" s="42">
        <f t="shared" si="36"/>
        <v>-2225.11</v>
      </c>
      <c r="O62" s="42">
        <f t="shared" si="37"/>
        <v>0</v>
      </c>
    </row>
    <row r="63" spans="1:15" x14ac:dyDescent="0.2">
      <c r="A63" s="40"/>
      <c r="B63" s="40" t="s">
        <v>46</v>
      </c>
      <c r="C63" s="68">
        <v>1506</v>
      </c>
      <c r="D63" s="42"/>
      <c r="E63" s="43">
        <v>6238.34</v>
      </c>
      <c r="F63" s="43">
        <v>-6428.55</v>
      </c>
      <c r="G63" s="42">
        <f t="shared" si="30"/>
        <v>-190.21000000000004</v>
      </c>
      <c r="H63" s="42" t="s">
        <v>215</v>
      </c>
      <c r="I63" s="43">
        <v>0</v>
      </c>
      <c r="J63" s="43">
        <v>-8000</v>
      </c>
      <c r="K63" s="42">
        <f t="shared" si="31"/>
        <v>-8000</v>
      </c>
      <c r="L63" s="42"/>
      <c r="M63" s="42">
        <f t="shared" si="32"/>
        <v>6238.34</v>
      </c>
      <c r="N63" s="42">
        <f t="shared" si="32"/>
        <v>1571.4499999999998</v>
      </c>
      <c r="O63" s="42">
        <f t="shared" si="33"/>
        <v>7809.79</v>
      </c>
    </row>
    <row r="64" spans="1:15" x14ac:dyDescent="0.2">
      <c r="A64" s="40"/>
      <c r="B64" s="40" t="s">
        <v>155</v>
      </c>
      <c r="C64" s="68">
        <v>8001</v>
      </c>
      <c r="D64" s="42"/>
      <c r="E64" s="43">
        <v>678.22</v>
      </c>
      <c r="F64" s="43">
        <v>-678.22</v>
      </c>
      <c r="G64" s="42">
        <f t="shared" si="30"/>
        <v>0</v>
      </c>
      <c r="H64" s="42"/>
      <c r="I64" s="43">
        <v>0</v>
      </c>
      <c r="J64" s="43">
        <v>-2500</v>
      </c>
      <c r="K64" s="42">
        <f t="shared" si="31"/>
        <v>-2500</v>
      </c>
      <c r="L64" s="42"/>
      <c r="M64" s="42">
        <f>E64-I64</f>
        <v>678.22</v>
      </c>
      <c r="N64" s="42">
        <f>F64-J64</f>
        <v>1821.78</v>
      </c>
      <c r="O64" s="42">
        <f t="shared" si="33"/>
        <v>2500</v>
      </c>
    </row>
    <row r="65" spans="1:15" x14ac:dyDescent="0.2">
      <c r="A65" s="40"/>
      <c r="B65" s="40" t="s">
        <v>213</v>
      </c>
      <c r="C65" s="68">
        <v>3580</v>
      </c>
      <c r="D65" s="42"/>
      <c r="E65" s="43">
        <v>1832.87</v>
      </c>
      <c r="F65" s="43">
        <v>-1800.28</v>
      </c>
      <c r="G65" s="42">
        <f t="shared" si="30"/>
        <v>32.589999999999918</v>
      </c>
      <c r="H65" s="42" t="s">
        <v>215</v>
      </c>
      <c r="I65" s="43">
        <v>0</v>
      </c>
      <c r="J65" s="43">
        <v>0</v>
      </c>
      <c r="K65" s="42">
        <f t="shared" si="31"/>
        <v>0</v>
      </c>
      <c r="L65" s="42"/>
      <c r="M65" s="42">
        <f>E65-I65</f>
        <v>1832.87</v>
      </c>
      <c r="N65" s="42">
        <f>F65-J65</f>
        <v>-1800.28</v>
      </c>
      <c r="O65" s="42">
        <f t="shared" ref="O65" si="43">SUM(L65:N65)</f>
        <v>32.589999999999918</v>
      </c>
    </row>
    <row r="66" spans="1:15" ht="5.0999999999999996" customHeight="1" x14ac:dyDescent="0.2">
      <c r="A66" s="40"/>
      <c r="B66" s="40"/>
      <c r="C66" s="68"/>
      <c r="D66" s="42"/>
      <c r="E66" s="43"/>
      <c r="F66" s="43"/>
      <c r="G66" s="42"/>
      <c r="H66" s="42"/>
      <c r="I66" s="43"/>
      <c r="J66" s="43"/>
      <c r="K66" s="42"/>
      <c r="L66" s="42"/>
      <c r="M66" s="42"/>
      <c r="N66" s="42"/>
      <c r="O66" s="48"/>
    </row>
    <row r="67" spans="1:15" x14ac:dyDescent="0.2">
      <c r="A67" s="40"/>
      <c r="B67" s="40"/>
      <c r="C67" s="68"/>
      <c r="D67" s="57">
        <f>SUM(D57:D66)</f>
        <v>0</v>
      </c>
      <c r="E67" s="58">
        <f>SUM(E57:E66)</f>
        <v>28906.43</v>
      </c>
      <c r="F67" s="58">
        <f>SUM(F57:F66)</f>
        <v>-30821.000000000004</v>
      </c>
      <c r="G67" s="57">
        <f>SUM(G57:G66)</f>
        <v>-1914.5700000000004</v>
      </c>
      <c r="H67" s="57"/>
      <c r="I67" s="58">
        <f>SUM(I57:I66)</f>
        <v>0</v>
      </c>
      <c r="J67" s="58">
        <f>SUM(J57:J66)</f>
        <v>-23750</v>
      </c>
      <c r="K67" s="57">
        <f>SUM(K57:K66)</f>
        <v>-23750</v>
      </c>
      <c r="L67" s="57"/>
      <c r="M67" s="57">
        <f>SUM(M57:M66)</f>
        <v>28906.43</v>
      </c>
      <c r="N67" s="57">
        <f>SUM(N57:N66)</f>
        <v>-7071.0000000000009</v>
      </c>
      <c r="O67" s="80">
        <f>SUM(O57:O66)</f>
        <v>21835.43</v>
      </c>
    </row>
    <row r="68" spans="1:15" x14ac:dyDescent="0.2">
      <c r="A68" s="40"/>
      <c r="B68" s="40"/>
      <c r="C68" s="68"/>
      <c r="D68" s="48"/>
      <c r="E68" s="49"/>
      <c r="F68" s="49"/>
      <c r="G68" s="48"/>
      <c r="H68" s="48"/>
      <c r="I68" s="49"/>
      <c r="J68" s="49"/>
      <c r="K68" s="48"/>
      <c r="L68" s="48"/>
      <c r="M68" s="48"/>
      <c r="N68" s="48"/>
      <c r="O68" s="48"/>
    </row>
    <row r="69" spans="1:15" ht="15.75" x14ac:dyDescent="0.25">
      <c r="A69" s="41" t="s">
        <v>48</v>
      </c>
      <c r="B69" s="40"/>
      <c r="C69" s="68"/>
      <c r="D69" s="42"/>
      <c r="E69" s="43"/>
      <c r="F69" s="43"/>
      <c r="G69" s="42"/>
      <c r="H69" s="42"/>
      <c r="I69" s="43"/>
      <c r="J69" s="43"/>
      <c r="K69" s="42"/>
      <c r="L69" s="42"/>
      <c r="M69" s="42"/>
      <c r="N69" s="42"/>
      <c r="O69" s="42"/>
    </row>
    <row r="70" spans="1:15" x14ac:dyDescent="0.2">
      <c r="A70" s="40"/>
      <c r="B70" s="40" t="s">
        <v>49</v>
      </c>
      <c r="C70" s="68">
        <v>1515</v>
      </c>
      <c r="D70" s="42"/>
      <c r="E70" s="43">
        <v>0</v>
      </c>
      <c r="F70" s="43">
        <v>0</v>
      </c>
      <c r="G70" s="42">
        <f>SUM(D70:F70)</f>
        <v>0</v>
      </c>
      <c r="H70" s="42"/>
      <c r="I70" s="43">
        <v>0</v>
      </c>
      <c r="J70" s="43">
        <v>0</v>
      </c>
      <c r="K70" s="42">
        <f>SUM(I70:J70)</f>
        <v>0</v>
      </c>
      <c r="L70" s="42"/>
      <c r="M70" s="42">
        <f>E70-I70</f>
        <v>0</v>
      </c>
      <c r="N70" s="42">
        <f>F70-J70</f>
        <v>0</v>
      </c>
      <c r="O70" s="42">
        <f>SUM(L70:N70)</f>
        <v>0</v>
      </c>
    </row>
    <row r="71" spans="1:15" x14ac:dyDescent="0.2">
      <c r="A71" s="40"/>
      <c r="B71" s="40" t="s">
        <v>50</v>
      </c>
      <c r="C71" s="68">
        <v>1500</v>
      </c>
      <c r="D71" s="42"/>
      <c r="E71" s="43">
        <v>0</v>
      </c>
      <c r="F71" s="43">
        <v>0</v>
      </c>
      <c r="G71" s="42">
        <f>SUM(D71:F71)</f>
        <v>0</v>
      </c>
      <c r="H71" s="42"/>
      <c r="I71" s="43">
        <v>0</v>
      </c>
      <c r="J71" s="43">
        <v>0</v>
      </c>
      <c r="K71" s="42">
        <f>SUM(I71:J71)</f>
        <v>0</v>
      </c>
      <c r="L71" s="42"/>
      <c r="M71" s="42">
        <f>E71-I71</f>
        <v>0</v>
      </c>
      <c r="N71" s="42">
        <f>F71-J71</f>
        <v>0</v>
      </c>
      <c r="O71" s="42">
        <f>SUM(L71:N71)</f>
        <v>0</v>
      </c>
    </row>
    <row r="72" spans="1:15" ht="5.0999999999999996" customHeight="1" x14ac:dyDescent="0.2">
      <c r="A72" s="40"/>
      <c r="B72" s="40"/>
      <c r="C72" s="68"/>
      <c r="D72" s="42"/>
      <c r="E72" s="43"/>
      <c r="F72" s="43"/>
      <c r="G72" s="42"/>
      <c r="H72" s="42"/>
      <c r="I72" s="43"/>
      <c r="J72" s="43"/>
      <c r="K72" s="42"/>
      <c r="L72" s="42"/>
      <c r="M72" s="42"/>
      <c r="N72" s="42"/>
      <c r="O72" s="48"/>
    </row>
    <row r="73" spans="1:15" x14ac:dyDescent="0.2">
      <c r="A73" s="40"/>
      <c r="B73" s="40"/>
      <c r="C73" s="68"/>
      <c r="D73" s="57"/>
      <c r="E73" s="58">
        <f>SUM(E70:E72)</f>
        <v>0</v>
      </c>
      <c r="F73" s="58">
        <f>SUM(F70:F72)</f>
        <v>0</v>
      </c>
      <c r="G73" s="57">
        <f>SUM(G70:G72)</f>
        <v>0</v>
      </c>
      <c r="H73" s="57"/>
      <c r="I73" s="58">
        <f>SUM(I70:I72)</f>
        <v>0</v>
      </c>
      <c r="J73" s="58">
        <f>SUM(J70:J72)</f>
        <v>0</v>
      </c>
      <c r="K73" s="57">
        <f>SUM(K70:K72)</f>
        <v>0</v>
      </c>
      <c r="L73" s="57"/>
      <c r="M73" s="57">
        <f>SUM(M70:M72)</f>
        <v>0</v>
      </c>
      <c r="N73" s="57">
        <f>SUM(N70:N72)</f>
        <v>0</v>
      </c>
      <c r="O73" s="57">
        <f>SUM(O70:O72)</f>
        <v>0</v>
      </c>
    </row>
    <row r="74" spans="1:15" ht="15.75" x14ac:dyDescent="0.25">
      <c r="A74" s="41"/>
      <c r="B74" s="40"/>
      <c r="C74" s="68"/>
      <c r="D74" s="42"/>
      <c r="E74" s="43"/>
      <c r="F74" s="43"/>
      <c r="G74" s="42"/>
      <c r="H74" s="42"/>
      <c r="I74" s="43"/>
      <c r="J74" s="43"/>
      <c r="K74" s="42"/>
      <c r="L74" s="42"/>
      <c r="M74" s="42"/>
      <c r="N74" s="42"/>
      <c r="O74" s="42"/>
    </row>
    <row r="75" spans="1:15" ht="15.75" x14ac:dyDescent="0.25">
      <c r="A75" s="41" t="s">
        <v>51</v>
      </c>
      <c r="B75" s="40"/>
      <c r="C75" s="68"/>
      <c r="D75" s="42"/>
      <c r="E75" s="43"/>
      <c r="F75" s="43"/>
      <c r="G75" s="42"/>
      <c r="H75" s="42"/>
      <c r="I75" s="43"/>
      <c r="J75" s="43"/>
      <c r="K75" s="42"/>
      <c r="L75" s="42"/>
      <c r="M75" s="42"/>
      <c r="N75" s="42"/>
      <c r="O75" s="42"/>
    </row>
    <row r="76" spans="1:15" x14ac:dyDescent="0.2">
      <c r="A76" s="40"/>
      <c r="B76" s="40" t="s">
        <v>93</v>
      </c>
      <c r="C76" s="68">
        <v>6806</v>
      </c>
      <c r="D76" s="42"/>
      <c r="E76" s="43">
        <v>3000</v>
      </c>
      <c r="F76" s="43">
        <v>-3000</v>
      </c>
      <c r="G76" s="42">
        <f>SUM(D76:F76)</f>
        <v>0</v>
      </c>
      <c r="H76" s="42"/>
      <c r="I76" s="43">
        <v>0</v>
      </c>
      <c r="J76" s="43">
        <f>ROUND('2016_17actvs2016_17budsept2917'!F63,-3)</f>
        <v>-3000</v>
      </c>
      <c r="K76" s="42">
        <f>SUM(I76:J76)</f>
        <v>-3000</v>
      </c>
      <c r="L76" s="42"/>
      <c r="M76" s="42">
        <f t="shared" ref="M76:N77" si="44">E76-I76</f>
        <v>3000</v>
      </c>
      <c r="N76" s="42">
        <f t="shared" si="44"/>
        <v>0</v>
      </c>
      <c r="O76" s="42">
        <f>SUM(L76:N76)</f>
        <v>3000</v>
      </c>
    </row>
    <row r="77" spans="1:15" x14ac:dyDescent="0.2">
      <c r="A77" s="40"/>
      <c r="B77" s="40" t="s">
        <v>54</v>
      </c>
      <c r="C77" s="68" t="s">
        <v>36</v>
      </c>
      <c r="D77" s="42"/>
      <c r="E77" s="43">
        <v>0</v>
      </c>
      <c r="F77" s="43">
        <v>0</v>
      </c>
      <c r="G77" s="42">
        <f>SUM(D77:F77)</f>
        <v>0</v>
      </c>
      <c r="H77" s="42"/>
      <c r="I77" s="43">
        <v>0</v>
      </c>
      <c r="J77" s="43">
        <v>0</v>
      </c>
      <c r="K77" s="42">
        <f>SUM(I77:J77)</f>
        <v>0</v>
      </c>
      <c r="L77" s="42"/>
      <c r="M77" s="42">
        <f t="shared" si="44"/>
        <v>0</v>
      </c>
      <c r="N77" s="42">
        <f t="shared" si="44"/>
        <v>0</v>
      </c>
      <c r="O77" s="42">
        <f>SUM(L77:N77)</f>
        <v>0</v>
      </c>
    </row>
    <row r="78" spans="1:15" ht="5.0999999999999996" customHeight="1" x14ac:dyDescent="0.2">
      <c r="A78" s="40"/>
      <c r="B78" s="40"/>
      <c r="C78" s="68"/>
      <c r="D78" s="42"/>
      <c r="E78" s="43"/>
      <c r="F78" s="43"/>
      <c r="G78" s="42"/>
      <c r="H78" s="42"/>
      <c r="I78" s="43"/>
      <c r="J78" s="43"/>
      <c r="K78" s="42"/>
      <c r="L78" s="42"/>
      <c r="M78" s="42"/>
      <c r="N78" s="42"/>
      <c r="O78" s="48"/>
    </row>
    <row r="79" spans="1:15" x14ac:dyDescent="0.2">
      <c r="A79" s="40"/>
      <c r="B79" s="40"/>
      <c r="C79" s="68"/>
      <c r="D79" s="57"/>
      <c r="E79" s="58">
        <f>SUM(E76:E78)</f>
        <v>3000</v>
      </c>
      <c r="F79" s="58">
        <f>SUM(F76:F78)</f>
        <v>-3000</v>
      </c>
      <c r="G79" s="57">
        <f>SUM(G76:G78)</f>
        <v>0</v>
      </c>
      <c r="H79" s="57"/>
      <c r="I79" s="58">
        <f>SUM(I76:I78)</f>
        <v>0</v>
      </c>
      <c r="J79" s="58">
        <f>SUM(J76:J78)</f>
        <v>-3000</v>
      </c>
      <c r="K79" s="57">
        <f>SUM(K76:K78)</f>
        <v>-3000</v>
      </c>
      <c r="L79" s="57"/>
      <c r="M79" s="57">
        <f>SUM(M76:M78)</f>
        <v>3000</v>
      </c>
      <c r="N79" s="57">
        <f>SUM(N76:N78)</f>
        <v>0</v>
      </c>
      <c r="O79" s="80">
        <f>SUM(O76:O78)</f>
        <v>3000</v>
      </c>
    </row>
    <row r="80" spans="1:15" x14ac:dyDescent="0.2">
      <c r="A80" s="40"/>
      <c r="B80" s="40"/>
      <c r="C80" s="68"/>
      <c r="D80" s="48"/>
      <c r="E80" s="49"/>
      <c r="F80" s="49"/>
      <c r="G80" s="48"/>
      <c r="H80" s="48"/>
      <c r="I80" s="49"/>
      <c r="J80" s="49"/>
      <c r="K80" s="48"/>
      <c r="L80" s="48"/>
      <c r="M80" s="48"/>
      <c r="N80" s="48"/>
      <c r="O80" s="48"/>
    </row>
    <row r="81" spans="1:16" ht="16.5" thickBot="1" x14ac:dyDescent="0.3">
      <c r="A81" s="54"/>
      <c r="B81" s="54"/>
      <c r="C81" s="71"/>
      <c r="D81" s="63">
        <f>D12+D14+D25+D33+D54+D67+D73+D79</f>
        <v>28324.999999999996</v>
      </c>
      <c r="E81" s="63">
        <f>E10+E12+E14+E25+E33+E54+E67+E73+E79</f>
        <v>114719.28</v>
      </c>
      <c r="F81" s="63">
        <f>F10+F12+F14+F25+F33+F54+F67+F73+F79</f>
        <v>-139861.54</v>
      </c>
      <c r="G81" s="63">
        <f>G12+G14+G25+G33+G54+G67+G73+G79</f>
        <v>3182.7399999999952</v>
      </c>
      <c r="H81" s="63"/>
      <c r="I81" s="63">
        <f>I10+I12+I14+I25+I33+I54+I67+I73+I79</f>
        <v>71777.45</v>
      </c>
      <c r="J81" s="63">
        <f>J10+J12+J14+J25+J33+J54+J67+J73+J79</f>
        <v>-78675</v>
      </c>
      <c r="K81" s="63">
        <f>K10+K12+K14+K25+K33+K54+K67+K73+K79</f>
        <v>-6897.5500000000029</v>
      </c>
      <c r="L81" s="63"/>
      <c r="M81" s="63">
        <f>M10+M12+M14+M25+M33+M54+M67+M73+M79</f>
        <v>42891.83</v>
      </c>
      <c r="N81" s="63">
        <f>N10+N12+N14+N25+N33+N54+N67+N73+N79</f>
        <v>-61136.539999999994</v>
      </c>
      <c r="O81" s="63">
        <f>O10+O12+O14+O25+O33+O54+O67+O73+O79</f>
        <v>8550.7099999999991</v>
      </c>
      <c r="P81" s="72"/>
    </row>
    <row r="82" spans="1:16" x14ac:dyDescent="0.2">
      <c r="A82" s="40"/>
      <c r="B82" s="40"/>
      <c r="C82" s="68"/>
      <c r="D82" s="42"/>
      <c r="E82" s="43"/>
      <c r="F82" s="43"/>
      <c r="G82" s="42"/>
      <c r="H82" s="42"/>
      <c r="I82" s="43"/>
      <c r="J82" s="43"/>
      <c r="K82" s="42"/>
      <c r="L82" s="42"/>
      <c r="M82" s="42"/>
      <c r="N82" s="42"/>
      <c r="O82" s="42"/>
    </row>
    <row r="83" spans="1:16" s="73" customFormat="1" ht="15.75" x14ac:dyDescent="0.25">
      <c r="A83" s="54" t="s">
        <v>56</v>
      </c>
      <c r="B83" s="54"/>
      <c r="C83" s="71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72"/>
    </row>
    <row r="85" spans="1:16" ht="15.75" x14ac:dyDescent="0.25">
      <c r="M85" s="55"/>
      <c r="N85" s="55"/>
      <c r="O85" s="55"/>
    </row>
    <row r="86" spans="1:16" ht="15.75" x14ac:dyDescent="0.25">
      <c r="A86" s="78"/>
    </row>
    <row r="88" spans="1:16" x14ac:dyDescent="0.2">
      <c r="A88" s="79"/>
    </row>
    <row r="89" spans="1:16" ht="17.25" x14ac:dyDescent="0.2">
      <c r="A89" s="35"/>
    </row>
    <row r="90" spans="1:16" ht="17.25" x14ac:dyDescent="0.2">
      <c r="A90" s="35"/>
    </row>
    <row r="91" spans="1:16" ht="17.25" x14ac:dyDescent="0.2">
      <c r="A91" s="35"/>
    </row>
    <row r="92" spans="1:16" ht="17.25" x14ac:dyDescent="0.2">
      <c r="A92" s="35"/>
    </row>
    <row r="93" spans="1:16" ht="17.25" x14ac:dyDescent="0.2">
      <c r="A93" s="35"/>
    </row>
  </sheetData>
  <phoneticPr fontId="2" type="noConversion"/>
  <pageMargins left="0.19685039370078741" right="0.19685039370078741" top="0.15748031496062992" bottom="0.31496062992125984" header="0.15748031496062992" footer="0.31496062992125984"/>
  <pageSetup scale="48" orientation="landscape" r:id="rId1"/>
  <headerFooter alignWithMargins="0">
    <oddFooter>&amp;F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0"/>
  <sheetViews>
    <sheetView zoomScale="66" zoomScaleNormal="66" workbookViewId="0">
      <selection activeCell="B63" sqref="B63"/>
    </sheetView>
  </sheetViews>
  <sheetFormatPr defaultColWidth="14" defaultRowHeight="18" x14ac:dyDescent="0.25"/>
  <cols>
    <col min="1" max="1" width="37.42578125" style="32" customWidth="1"/>
    <col min="2" max="2" width="12.42578125" style="7" customWidth="1"/>
    <col min="3" max="3" width="12.42578125" style="7" bestFit="1" customWidth="1"/>
    <col min="4" max="4" width="14.140625" style="7" customWidth="1"/>
    <col min="5" max="5" width="15.42578125" style="7" customWidth="1"/>
    <col min="6" max="6" width="14.7109375" style="34" customWidth="1"/>
    <col min="7" max="7" width="22.28515625" style="6" bestFit="1" customWidth="1"/>
    <col min="8" max="8" width="20.140625" style="6" bestFit="1" customWidth="1"/>
    <col min="9" max="16384" width="14" style="7"/>
  </cols>
  <sheetData>
    <row r="1" spans="1:8" x14ac:dyDescent="0.25">
      <c r="A1" s="2"/>
      <c r="B1" s="3"/>
      <c r="C1" s="4"/>
      <c r="D1" s="4"/>
      <c r="E1" s="5"/>
      <c r="F1" s="5"/>
    </row>
    <row r="2" spans="1:8" x14ac:dyDescent="0.25">
      <c r="A2" s="8" t="s">
        <v>104</v>
      </c>
      <c r="B2" s="9" t="s">
        <v>105</v>
      </c>
      <c r="C2" s="9" t="s">
        <v>106</v>
      </c>
      <c r="D2" s="9" t="s">
        <v>107</v>
      </c>
      <c r="E2" s="10"/>
      <c r="F2" s="10"/>
      <c r="G2" s="11" t="s">
        <v>108</v>
      </c>
      <c r="H2" s="12" t="s">
        <v>109</v>
      </c>
    </row>
    <row r="3" spans="1:8" ht="24.75" customHeight="1" x14ac:dyDescent="0.35">
      <c r="A3" s="2" t="s">
        <v>110</v>
      </c>
      <c r="B3" s="13">
        <f>SUM('[1]Rm 101'!B40)</f>
        <v>18</v>
      </c>
      <c r="C3" s="13">
        <f>SUM('[1]Rm 101'!C40)</f>
        <v>10</v>
      </c>
      <c r="D3" s="13">
        <f>SUM('[1]Rm 101'!D40)</f>
        <v>12</v>
      </c>
      <c r="E3" s="13"/>
      <c r="F3" s="13"/>
      <c r="G3" s="14">
        <f>SUM('[1]Rm 101'!E40)</f>
        <v>1628</v>
      </c>
      <c r="H3" s="15">
        <f>SUM('[1]Rm 101'!F40)</f>
        <v>0</v>
      </c>
    </row>
    <row r="4" spans="1:8" ht="24.75" customHeight="1" x14ac:dyDescent="0.35">
      <c r="A4" s="2" t="s">
        <v>111</v>
      </c>
      <c r="B4" s="13">
        <f>SUM('[1]Rm 102'!B38)</f>
        <v>20</v>
      </c>
      <c r="C4" s="13">
        <f>SUM('[1]Rm 102'!C38)</f>
        <v>12</v>
      </c>
      <c r="D4" s="13">
        <f>SUM('[1]Rm 102'!D38)</f>
        <v>13</v>
      </c>
      <c r="E4" s="13"/>
      <c r="F4" s="13"/>
      <c r="G4" s="14">
        <f>SUM('[1]Rm 102'!E38)</f>
        <v>2386.5</v>
      </c>
      <c r="H4" s="15">
        <f>SUM('[1]Rm 102'!F38)</f>
        <v>0</v>
      </c>
    </row>
    <row r="5" spans="1:8" ht="24.75" customHeight="1" x14ac:dyDescent="0.35">
      <c r="A5" s="2" t="s">
        <v>112</v>
      </c>
      <c r="B5" s="13">
        <f>SUM('[1]Rm 103'!B41)</f>
        <v>15</v>
      </c>
      <c r="C5" s="13">
        <f>SUM('[1]Rm 103'!C41)</f>
        <v>11</v>
      </c>
      <c r="D5" s="13">
        <f>SUM('[1]Rm 103'!D41)</f>
        <v>14</v>
      </c>
      <c r="E5" s="16"/>
      <c r="F5" s="16"/>
      <c r="G5" s="17">
        <f>SUM('[1]Rm 103'!E41)</f>
        <v>2035</v>
      </c>
      <c r="H5" s="18">
        <f>SUM('[1]Rm 103'!F41)</f>
        <v>0</v>
      </c>
    </row>
    <row r="6" spans="1:8" ht="24.75" customHeight="1" x14ac:dyDescent="0.35">
      <c r="A6" s="2" t="s">
        <v>113</v>
      </c>
      <c r="B6" s="13">
        <f>'[1]Rm 104'!B33</f>
        <v>7</v>
      </c>
      <c r="C6" s="13">
        <f>SUM('[1]Rm 104'!C33)</f>
        <v>11</v>
      </c>
      <c r="D6" s="13">
        <f>SUM('[1]Rm 104'!D33)</f>
        <v>9</v>
      </c>
      <c r="E6" s="13"/>
      <c r="F6" s="13"/>
      <c r="G6" s="14">
        <f>SUM('[1]Rm 104'!E33)</f>
        <v>1433.75</v>
      </c>
      <c r="H6" s="15">
        <f>SUM('[1]Rm 104'!F33)</f>
        <v>0</v>
      </c>
    </row>
    <row r="7" spans="1:8" ht="24.75" customHeight="1" x14ac:dyDescent="0.35">
      <c r="A7" s="2" t="s">
        <v>114</v>
      </c>
      <c r="B7" s="13">
        <f>'[1]Rm 105 '!B38</f>
        <v>13</v>
      </c>
      <c r="C7" s="13">
        <f>SUM('[1]Rm 105 '!C38)</f>
        <v>8</v>
      </c>
      <c r="D7" s="13">
        <f>SUM('[1]Rm 105 '!D38)</f>
        <v>9</v>
      </c>
      <c r="E7" s="13"/>
      <c r="F7" s="19"/>
      <c r="G7" s="14">
        <f>SUM('[1]Rm 105 '!E38)</f>
        <v>1590.95</v>
      </c>
      <c r="H7" s="15">
        <f>SUM('[1]Rm 105 '!F38)</f>
        <v>0</v>
      </c>
    </row>
    <row r="8" spans="1:8" ht="24.75" customHeight="1" x14ac:dyDescent="0.35">
      <c r="A8" s="2" t="s">
        <v>115</v>
      </c>
      <c r="B8" s="13">
        <f>SUM('[1]Rm 106'!B40)</f>
        <v>20</v>
      </c>
      <c r="C8" s="13">
        <f>SUM('[1]Rm 106'!C40)</f>
        <v>11</v>
      </c>
      <c r="D8" s="13">
        <f>SUM('[1]Rm 106'!D40)</f>
        <v>8</v>
      </c>
      <c r="E8" s="19"/>
      <c r="F8" s="19"/>
      <c r="G8" s="14">
        <f>SUM('[1]Rm 106'!E40)</f>
        <v>2173.75</v>
      </c>
      <c r="H8" s="15">
        <f>SUM('[1]Rm 106'!F40)</f>
        <v>0</v>
      </c>
    </row>
    <row r="9" spans="1:8" ht="24.75" customHeight="1" x14ac:dyDescent="0.35">
      <c r="A9" s="2" t="s">
        <v>116</v>
      </c>
      <c r="B9" s="13">
        <f>SUM('[1]Rm 107'!B37)</f>
        <v>20</v>
      </c>
      <c r="C9" s="13">
        <f>SUM('[1]Rm 107'!C37)</f>
        <v>14</v>
      </c>
      <c r="D9" s="13">
        <f>SUM('[1]Rm 107'!D37)</f>
        <v>12</v>
      </c>
      <c r="E9" s="19"/>
      <c r="F9" s="19"/>
      <c r="G9" s="14">
        <f>SUM('[1]Rm 107'!E37)</f>
        <v>2312.5</v>
      </c>
      <c r="H9" s="15">
        <f>SUM('[1]Rm 107'!F37)</f>
        <v>0</v>
      </c>
    </row>
    <row r="10" spans="1:8" ht="24.75" customHeight="1" x14ac:dyDescent="0.35">
      <c r="A10" s="2" t="s">
        <v>117</v>
      </c>
      <c r="B10" s="13">
        <f>SUM([1]Rm108!B40)</f>
        <v>20</v>
      </c>
      <c r="C10" s="13">
        <f>SUM([1]Rm108!C40)</f>
        <v>4</v>
      </c>
      <c r="D10" s="13">
        <f>SUM([1]Rm108!D40)</f>
        <v>5</v>
      </c>
      <c r="E10" s="19"/>
      <c r="F10" s="19"/>
      <c r="G10" s="14">
        <f>SUM([1]Rm108!E40)</f>
        <v>1739</v>
      </c>
      <c r="H10" s="15">
        <f>SUM([1]Rm108!F40)</f>
        <v>0</v>
      </c>
    </row>
    <row r="11" spans="1:8" ht="24.75" customHeight="1" x14ac:dyDescent="0.35">
      <c r="A11" s="20" t="s">
        <v>118</v>
      </c>
      <c r="B11" s="13">
        <f>'[1]Rm 109'!B31</f>
        <v>12</v>
      </c>
      <c r="C11" s="13">
        <f>'[1]Rm 109'!C31</f>
        <v>9</v>
      </c>
      <c r="D11" s="13">
        <f>'[1]Rm 109'!D31</f>
        <v>12</v>
      </c>
      <c r="E11" s="19"/>
      <c r="F11" s="19"/>
      <c r="G11" s="14">
        <f>SUM('[1]Rm 109'!E31)</f>
        <v>1739</v>
      </c>
      <c r="H11" s="15">
        <f>SUM('[1]Rm 109'!F31)</f>
        <v>0</v>
      </c>
    </row>
    <row r="12" spans="1:8" ht="24.75" customHeight="1" x14ac:dyDescent="0.35">
      <c r="A12" s="2" t="s">
        <v>119</v>
      </c>
      <c r="B12" s="13">
        <f>SUM('[1]Rm 110'!B35)</f>
        <v>16</v>
      </c>
      <c r="C12" s="13">
        <f>SUM('[1]Rm 110'!C35)</f>
        <v>6</v>
      </c>
      <c r="D12" s="13">
        <f>SUM('[1]Rm 110'!D35)</f>
        <v>7</v>
      </c>
      <c r="E12" s="19"/>
      <c r="F12" s="19"/>
      <c r="G12" s="14">
        <f>SUM('[1]Rm 110'!E35)</f>
        <v>1683.5</v>
      </c>
      <c r="H12" s="15">
        <f>SUM('[1]Rm 110'!F35)</f>
        <v>0</v>
      </c>
    </row>
    <row r="13" spans="1:8" ht="24.75" customHeight="1" x14ac:dyDescent="0.35">
      <c r="A13" s="2" t="s">
        <v>120</v>
      </c>
      <c r="B13" s="13">
        <f>SUM('[1]Rm 201'!C42)</f>
        <v>12</v>
      </c>
      <c r="C13" s="13">
        <f>SUM('[1]Rm 201'!D42)</f>
        <v>25</v>
      </c>
      <c r="D13" s="13">
        <f>SUM('[1]Rm 201'!E42)</f>
        <v>10</v>
      </c>
      <c r="E13" s="19"/>
      <c r="F13" s="19"/>
      <c r="G13" s="14">
        <f>SUM('[1]Rm 201'!F42)</f>
        <v>2368</v>
      </c>
      <c r="H13" s="15">
        <f>SUM('[1]Rm 201'!G42)</f>
        <v>0</v>
      </c>
    </row>
    <row r="14" spans="1:8" ht="24.75" customHeight="1" x14ac:dyDescent="0.35">
      <c r="A14" s="2" t="s">
        <v>121</v>
      </c>
      <c r="B14" s="13">
        <f>SUM('[1]Rm 202'!C41)</f>
        <v>13</v>
      </c>
      <c r="C14" s="13">
        <f>SUM('[1]Rm 202'!D41)</f>
        <v>22</v>
      </c>
      <c r="D14" s="13">
        <f>SUM('[1]Rm 202'!E41)</f>
        <v>11</v>
      </c>
      <c r="E14" s="19"/>
      <c r="F14" s="19"/>
      <c r="G14" s="14">
        <f>SUM('[1]Rm 202'!F41)</f>
        <v>2608.5</v>
      </c>
      <c r="H14" s="15">
        <f>SUM('[1]Rm 202'!G41)</f>
        <v>0</v>
      </c>
    </row>
    <row r="15" spans="1:8" ht="24.75" customHeight="1" x14ac:dyDescent="0.35">
      <c r="A15" s="2" t="s">
        <v>122</v>
      </c>
      <c r="B15" s="13">
        <f>SUM('[1]Rm 203'!C38)</f>
        <v>12</v>
      </c>
      <c r="C15" s="13">
        <f>SUM('[1]Rm 203'!D38)</f>
        <v>24</v>
      </c>
      <c r="D15" s="13">
        <f>SUM('[1]Rm 203'!E38)</f>
        <v>10</v>
      </c>
      <c r="E15" s="19"/>
      <c r="F15" s="19"/>
      <c r="G15" s="14">
        <f>SUM('[1]Rm 203'!F38)</f>
        <v>2136.75</v>
      </c>
      <c r="H15" s="15">
        <f>SUM('[1]Rm 203'!G38)</f>
        <v>0</v>
      </c>
    </row>
    <row r="16" spans="1:8" ht="24.75" customHeight="1" x14ac:dyDescent="0.35">
      <c r="A16" s="2" t="s">
        <v>123</v>
      </c>
      <c r="B16" s="13">
        <f>SUM('[1]Rm 204'!C38)</f>
        <v>17</v>
      </c>
      <c r="C16" s="13">
        <f>SUM('[1]Rm 204'!D38)</f>
        <v>25</v>
      </c>
      <c r="D16" s="13">
        <f>SUM('[1]Rm 204'!E38)</f>
        <v>17</v>
      </c>
      <c r="E16" s="19"/>
      <c r="F16" s="19"/>
      <c r="G16" s="14">
        <f>SUM('[1]Rm 204'!F38)</f>
        <v>3348.5</v>
      </c>
      <c r="H16" s="15">
        <f>SUM('[1]Rm 204'!G38)</f>
        <v>0</v>
      </c>
    </row>
    <row r="17" spans="1:9" ht="24.75" customHeight="1" x14ac:dyDescent="0.35">
      <c r="A17" s="2" t="s">
        <v>124</v>
      </c>
      <c r="B17" s="13">
        <f>SUM('[1]Rm 205'!C37)</f>
        <v>11</v>
      </c>
      <c r="C17" s="13">
        <f>SUM('[1]Rm 205'!D37)</f>
        <v>27</v>
      </c>
      <c r="D17" s="13">
        <f>SUM('[1]Rm 205'!E37)</f>
        <v>14</v>
      </c>
      <c r="E17" s="19"/>
      <c r="F17" s="19"/>
      <c r="G17" s="14">
        <f>SUM('[1]Rm 205'!F37)</f>
        <v>2941.5</v>
      </c>
      <c r="H17" s="15">
        <f>SUM('[1]Rm 205'!G37)</f>
        <v>0</v>
      </c>
    </row>
    <row r="18" spans="1:9" ht="24.75" customHeight="1" x14ac:dyDescent="0.35">
      <c r="A18" s="2" t="s">
        <v>125</v>
      </c>
      <c r="B18" s="13">
        <f>SUM('[1] Rm 206 8FI'!C39)</f>
        <v>18</v>
      </c>
      <c r="C18" s="13">
        <f>SUM('[1] Rm 206 8FI'!D39)</f>
        <v>19</v>
      </c>
      <c r="D18" s="13">
        <f>SUM('[1] Rm 206 8FI'!E39)</f>
        <v>7</v>
      </c>
      <c r="E18" s="19"/>
      <c r="F18" s="19"/>
      <c r="G18" s="14">
        <f>SUM('[1] Rm 206 8FI'!F39)</f>
        <v>2654.5</v>
      </c>
      <c r="H18" s="15">
        <f>SUM('[1] Rm 206 8FI'!G39)</f>
        <v>0</v>
      </c>
    </row>
    <row r="19" spans="1:9" ht="24.75" customHeight="1" x14ac:dyDescent="0.35">
      <c r="A19" s="2" t="s">
        <v>126</v>
      </c>
      <c r="B19" s="13">
        <f>SUM('[1]Rm 208'!C35)</f>
        <v>15</v>
      </c>
      <c r="C19" s="13">
        <f>SUM('[1]Rm 208'!D35)</f>
        <v>12</v>
      </c>
      <c r="D19" s="13">
        <f>SUM('[1]Rm 208'!E35)</f>
        <v>7</v>
      </c>
      <c r="E19" s="19"/>
      <c r="F19" s="19"/>
      <c r="G19" s="14">
        <f>SUM('[1]Rm 208'!F35)</f>
        <v>2007</v>
      </c>
      <c r="H19" s="15">
        <f>SUM('[1]Rm 208'!G35)</f>
        <v>0</v>
      </c>
    </row>
    <row r="20" spans="1:9" ht="24.75" customHeight="1" x14ac:dyDescent="0.35">
      <c r="A20" s="2" t="s">
        <v>127</v>
      </c>
      <c r="B20" s="13">
        <f>SUM('[1]Rm 209'!B35)</f>
        <v>12</v>
      </c>
      <c r="C20" s="13">
        <f>SUM('[1]Rm 209'!C35)</f>
        <v>15</v>
      </c>
      <c r="D20" s="13">
        <f>SUM('[1]Rm 209'!D35)</f>
        <v>12</v>
      </c>
      <c r="E20" s="19"/>
      <c r="F20" s="19"/>
      <c r="G20" s="14">
        <f>SUM('[1]Rm 209'!E35)</f>
        <v>2192.25</v>
      </c>
      <c r="H20" s="15">
        <f>SUM('[1]Rm 209'!F35)</f>
        <v>0</v>
      </c>
    </row>
    <row r="21" spans="1:9" ht="24.75" customHeight="1" x14ac:dyDescent="0.35">
      <c r="A21" s="2" t="s">
        <v>128</v>
      </c>
      <c r="B21" s="13">
        <f>SUM('[1]Rm 210'!C37)</f>
        <v>23</v>
      </c>
      <c r="C21" s="13">
        <f>SUM('[1]Rm 210'!D37)</f>
        <v>23</v>
      </c>
      <c r="D21" s="13">
        <f>SUM('[1]Rm 210'!E37)</f>
        <v>13</v>
      </c>
      <c r="E21" s="19"/>
      <c r="F21" s="19"/>
      <c r="G21" s="14">
        <f>SUM('[1]Rm 210'!F37)</f>
        <v>3496.5</v>
      </c>
      <c r="H21" s="15">
        <f>SUM('[1]Rm 210'!G37)</f>
        <v>0</v>
      </c>
    </row>
    <row r="22" spans="1:9" ht="24.75" customHeight="1" x14ac:dyDescent="0.35">
      <c r="A22" s="2" t="s">
        <v>129</v>
      </c>
      <c r="B22" s="13">
        <f>SUM('[1]Rm 211'!B40)</f>
        <v>12</v>
      </c>
      <c r="C22" s="13">
        <f>SUM('[1]Rm 211'!C40)</f>
        <v>28</v>
      </c>
      <c r="D22" s="13">
        <f>SUM('[1]Rm 211'!D40)</f>
        <v>7</v>
      </c>
      <c r="E22" s="19"/>
      <c r="F22" s="19"/>
      <c r="G22" s="14">
        <f>SUM('[1]Rm 211'!E40)</f>
        <v>2719.5</v>
      </c>
      <c r="H22" s="15">
        <f>SUM('[1]Rm 211'!F40)</f>
        <v>0</v>
      </c>
    </row>
    <row r="23" spans="1:9" ht="24.75" customHeight="1" x14ac:dyDescent="0.35">
      <c r="A23" s="2" t="s">
        <v>130</v>
      </c>
      <c r="B23" s="13">
        <f>SUM('[1]Rm 212'!B38)</f>
        <v>21</v>
      </c>
      <c r="C23" s="13">
        <f>SUM('[1]Rm 212'!C38)</f>
        <v>22</v>
      </c>
      <c r="D23" s="13">
        <f>SUM('[1]Rm 212'!D38)</f>
        <v>13</v>
      </c>
      <c r="E23" s="19"/>
      <c r="F23" s="19"/>
      <c r="G23" s="14">
        <f>SUM('[1]Rm 212'!E38)</f>
        <v>3265.25</v>
      </c>
      <c r="H23" s="15">
        <f>SUM('[1]Rm 212'!F38)</f>
        <v>0</v>
      </c>
    </row>
    <row r="24" spans="1:9" ht="24.75" customHeight="1" x14ac:dyDescent="0.35">
      <c r="A24" s="2" t="s">
        <v>131</v>
      </c>
      <c r="B24" s="13">
        <f>SUM([1]FORUM!B39)</f>
        <v>11</v>
      </c>
      <c r="C24" s="13">
        <f>SUM([1]FORUM!C39)</f>
        <v>30</v>
      </c>
      <c r="D24" s="13">
        <f>SUM([1]FORUM!D39)</f>
        <v>15</v>
      </c>
      <c r="E24" s="19"/>
      <c r="F24" s="19"/>
      <c r="G24" s="14">
        <f>SUM([1]FORUM!E39)</f>
        <v>2747.25</v>
      </c>
      <c r="H24" s="15">
        <f>SUM([1]FORUM!F39)</f>
        <v>0</v>
      </c>
    </row>
    <row r="25" spans="1:9" ht="24.75" customHeight="1" x14ac:dyDescent="0.35">
      <c r="A25" s="2" t="s">
        <v>132</v>
      </c>
      <c r="B25" s="13">
        <f>SUM('[1]Rm PORTABLE 1'!B38)</f>
        <v>10</v>
      </c>
      <c r="C25" s="13">
        <f>SUM('[1]Rm PORTABLE 1'!C38)</f>
        <v>17</v>
      </c>
      <c r="D25" s="13">
        <f>SUM('[1]Rm PORTABLE 1'!D38)</f>
        <v>9</v>
      </c>
      <c r="E25" s="13"/>
      <c r="F25" s="13"/>
      <c r="G25" s="14">
        <f>SUM('[1]Rm PORTABLE 1'!E38)</f>
        <v>2081.25</v>
      </c>
      <c r="H25" s="15">
        <f>SUM('[1]Rm PORTABLE 1'!F38)</f>
        <v>0</v>
      </c>
    </row>
    <row r="26" spans="1:9" ht="24.75" customHeight="1" x14ac:dyDescent="0.35">
      <c r="A26" s="21" t="s">
        <v>133</v>
      </c>
      <c r="B26" s="13">
        <f>SUM('[1]Rm PORTABLE 2'!B34)</f>
        <v>15</v>
      </c>
      <c r="C26" s="13">
        <f>SUM('[1]Rm PORTABLE 2'!C34)</f>
        <v>12</v>
      </c>
      <c r="D26" s="13">
        <f>SUM('[1]Rm PORTABLE 2'!D34)</f>
        <v>11</v>
      </c>
      <c r="E26" s="13"/>
      <c r="F26" s="13"/>
      <c r="G26" s="14">
        <f>SUM('[1]Rm PORTABLE 2'!E34)</f>
        <v>1988.75</v>
      </c>
      <c r="H26" s="15">
        <f>SUM('[1]Rm PORTABLE 2'!F34)</f>
        <v>0</v>
      </c>
    </row>
    <row r="27" spans="1:9" ht="24.75" customHeight="1" x14ac:dyDescent="0.35">
      <c r="A27" s="2"/>
      <c r="B27" s="13"/>
      <c r="C27" s="13"/>
      <c r="D27" s="13"/>
      <c r="E27" s="19"/>
      <c r="F27" s="19"/>
      <c r="G27" s="14"/>
      <c r="H27" s="15"/>
    </row>
    <row r="28" spans="1:9" ht="24.75" customHeight="1" x14ac:dyDescent="0.35">
      <c r="A28" s="22" t="s">
        <v>134</v>
      </c>
      <c r="B28" s="23">
        <f>SUM(B3:B27)</f>
        <v>363</v>
      </c>
      <c r="C28" s="23">
        <f t="shared" ref="C28:H28" si="0">SUM(C3:C27)</f>
        <v>397</v>
      </c>
      <c r="D28" s="23">
        <f t="shared" si="0"/>
        <v>257</v>
      </c>
      <c r="E28" s="23">
        <f t="shared" si="0"/>
        <v>0</v>
      </c>
      <c r="F28" s="23">
        <f t="shared" si="0"/>
        <v>0</v>
      </c>
      <c r="G28" s="24">
        <f t="shared" si="0"/>
        <v>55277.45</v>
      </c>
      <c r="H28" s="25">
        <f t="shared" si="0"/>
        <v>0</v>
      </c>
      <c r="I28" s="7" t="s">
        <v>135</v>
      </c>
    </row>
    <row r="29" spans="1:9" x14ac:dyDescent="0.25">
      <c r="A29" s="2"/>
      <c r="B29" s="9" t="s">
        <v>105</v>
      </c>
      <c r="C29" s="9" t="s">
        <v>106</v>
      </c>
      <c r="D29" s="9" t="s">
        <v>107</v>
      </c>
      <c r="E29" s="26"/>
      <c r="F29" s="26"/>
    </row>
    <row r="30" spans="1:9" x14ac:dyDescent="0.25">
      <c r="A30" s="2"/>
      <c r="B30" s="27">
        <f>B28/8</f>
        <v>45.375</v>
      </c>
      <c r="C30" s="27">
        <f>C28/8</f>
        <v>49.625</v>
      </c>
      <c r="D30" s="27"/>
      <c r="E30" s="5"/>
      <c r="F30" s="5"/>
    </row>
    <row r="31" spans="1:9" x14ac:dyDescent="0.25">
      <c r="A31" s="2"/>
      <c r="B31" s="28"/>
      <c r="C31" s="29"/>
      <c r="D31" s="29"/>
      <c r="E31" s="29"/>
      <c r="F31" s="29"/>
    </row>
    <row r="32" spans="1:9" x14ac:dyDescent="0.25">
      <c r="A32" s="2"/>
      <c r="B32" s="28"/>
      <c r="C32" s="29"/>
      <c r="D32" s="29"/>
      <c r="E32" s="29"/>
      <c r="F32" s="29"/>
      <c r="G32" s="6">
        <f>Pizza_Cost!D42</f>
        <v>29272</v>
      </c>
      <c r="I32" s="7" t="s">
        <v>136</v>
      </c>
    </row>
    <row r="33" spans="1:9" x14ac:dyDescent="0.25">
      <c r="A33" s="2"/>
      <c r="B33" s="28"/>
      <c r="C33" s="29"/>
      <c r="D33" s="29"/>
      <c r="E33" s="29"/>
      <c r="F33" s="29"/>
      <c r="G33" s="30">
        <f>Pizza_Cost!H42</f>
        <v>6253</v>
      </c>
      <c r="I33" s="7" t="s">
        <v>137</v>
      </c>
    </row>
    <row r="34" spans="1:9" ht="24.75" customHeight="1" x14ac:dyDescent="0.25">
      <c r="A34" s="2"/>
      <c r="B34" s="28"/>
      <c r="C34" s="29"/>
      <c r="D34" s="29"/>
      <c r="E34" s="29"/>
      <c r="F34" s="29"/>
      <c r="G34" s="31">
        <f>SUM(G32:G33)</f>
        <v>35525</v>
      </c>
      <c r="H34" s="31"/>
    </row>
    <row r="35" spans="1:9" ht="21" customHeight="1" x14ac:dyDescent="0.25">
      <c r="A35" s="2"/>
      <c r="B35" s="28"/>
      <c r="C35" s="29"/>
      <c r="D35" s="29"/>
      <c r="E35" s="29"/>
      <c r="F35" s="29"/>
    </row>
    <row r="36" spans="1:9" ht="24" customHeight="1" x14ac:dyDescent="0.25">
      <c r="A36" s="2"/>
      <c r="B36" s="28"/>
      <c r="C36" s="29"/>
      <c r="D36" s="29"/>
      <c r="E36" s="29"/>
      <c r="F36" s="29"/>
      <c r="G36" s="6">
        <f>G28-G34</f>
        <v>19752.449999999997</v>
      </c>
      <c r="I36" s="7" t="s">
        <v>138</v>
      </c>
    </row>
    <row r="37" spans="1:9" hidden="1" x14ac:dyDescent="0.25">
      <c r="A37" s="2"/>
      <c r="B37" s="28"/>
      <c r="C37" s="29"/>
      <c r="D37" s="29"/>
      <c r="E37" s="29"/>
      <c r="F37" s="29"/>
    </row>
    <row r="38" spans="1:9" hidden="1" x14ac:dyDescent="0.25">
      <c r="C38" s="33"/>
      <c r="D38" s="33"/>
      <c r="E38" s="33"/>
      <c r="F38" s="33"/>
    </row>
    <row r="39" spans="1:9" hidden="1" x14ac:dyDescent="0.25">
      <c r="C39" s="33"/>
      <c r="D39" s="33"/>
      <c r="E39" s="33"/>
      <c r="F39" s="33"/>
    </row>
    <row r="40" spans="1:9" hidden="1" x14ac:dyDescent="0.25">
      <c r="C40" s="33"/>
      <c r="D40" s="33"/>
      <c r="E40" s="33"/>
      <c r="F40" s="33"/>
    </row>
    <row r="41" spans="1:9" hidden="1" x14ac:dyDescent="0.25">
      <c r="C41" s="33"/>
      <c r="D41" s="33"/>
      <c r="E41" s="33"/>
      <c r="F41" s="33"/>
    </row>
    <row r="42" spans="1:9" hidden="1" x14ac:dyDescent="0.25">
      <c r="C42" s="33"/>
      <c r="D42" s="33"/>
      <c r="E42" s="33"/>
      <c r="F42" s="33"/>
    </row>
    <row r="43" spans="1:9" hidden="1" x14ac:dyDescent="0.25">
      <c r="C43" s="33"/>
      <c r="D43" s="33"/>
      <c r="E43" s="33"/>
      <c r="F43" s="33"/>
    </row>
    <row r="44" spans="1:9" hidden="1" x14ac:dyDescent="0.25">
      <c r="C44" s="33"/>
      <c r="D44" s="33"/>
      <c r="E44" s="33"/>
      <c r="F44" s="33"/>
    </row>
    <row r="45" spans="1:9" hidden="1" x14ac:dyDescent="0.25">
      <c r="C45" s="33"/>
      <c r="D45" s="33"/>
      <c r="E45" s="33"/>
      <c r="F45" s="33"/>
    </row>
    <row r="46" spans="1:9" hidden="1" x14ac:dyDescent="0.25">
      <c r="C46" s="33"/>
      <c r="D46" s="33"/>
      <c r="E46" s="33"/>
      <c r="F46" s="33"/>
    </row>
    <row r="47" spans="1:9" hidden="1" x14ac:dyDescent="0.25">
      <c r="C47" s="33"/>
      <c r="D47" s="33"/>
      <c r="E47" s="33"/>
      <c r="F47" s="33"/>
    </row>
    <row r="48" spans="1:9" hidden="1" x14ac:dyDescent="0.25">
      <c r="C48" s="33"/>
      <c r="D48" s="33"/>
      <c r="E48" s="33"/>
      <c r="F48" s="33"/>
    </row>
    <row r="49" spans="3:6" hidden="1" x14ac:dyDescent="0.25">
      <c r="C49" s="33"/>
      <c r="D49" s="33"/>
      <c r="E49" s="33"/>
      <c r="F49" s="33"/>
    </row>
    <row r="50" spans="3:6" hidden="1" x14ac:dyDescent="0.25">
      <c r="C50" s="33"/>
      <c r="D50" s="33"/>
      <c r="E50" s="33"/>
      <c r="F50" s="33"/>
    </row>
    <row r="51" spans="3:6" hidden="1" x14ac:dyDescent="0.25">
      <c r="C51" s="33"/>
      <c r="D51" s="33"/>
      <c r="E51" s="33"/>
      <c r="F51" s="33"/>
    </row>
    <row r="52" spans="3:6" hidden="1" x14ac:dyDescent="0.25">
      <c r="C52" s="33"/>
      <c r="D52" s="33"/>
      <c r="E52" s="33"/>
      <c r="F52" s="33"/>
    </row>
    <row r="53" spans="3:6" hidden="1" x14ac:dyDescent="0.25">
      <c r="C53" s="33"/>
      <c r="D53" s="33"/>
      <c r="E53" s="33"/>
      <c r="F53" s="33"/>
    </row>
    <row r="54" spans="3:6" x14ac:dyDescent="0.25">
      <c r="C54" s="33"/>
      <c r="D54" s="33"/>
      <c r="E54" s="33"/>
      <c r="F54" s="33"/>
    </row>
    <row r="55" spans="3:6" x14ac:dyDescent="0.25">
      <c r="C55" s="33"/>
      <c r="D55" s="33"/>
      <c r="E55" s="33"/>
      <c r="F55" s="33"/>
    </row>
    <row r="56" spans="3:6" x14ac:dyDescent="0.25">
      <c r="C56" s="33"/>
      <c r="D56" s="33"/>
      <c r="E56" s="33"/>
      <c r="F56" s="33"/>
    </row>
    <row r="57" spans="3:6" x14ac:dyDescent="0.25">
      <c r="C57" s="33"/>
      <c r="D57" s="33"/>
      <c r="E57" s="33"/>
      <c r="F57" s="33"/>
    </row>
    <row r="58" spans="3:6" x14ac:dyDescent="0.25">
      <c r="C58" s="33"/>
      <c r="D58" s="33"/>
      <c r="E58" s="33"/>
      <c r="F58" s="33"/>
    </row>
    <row r="59" spans="3:6" x14ac:dyDescent="0.25">
      <c r="C59" s="33"/>
      <c r="D59" s="33"/>
      <c r="E59" s="33"/>
      <c r="F59" s="33"/>
    </row>
    <row r="60" spans="3:6" x14ac:dyDescent="0.25">
      <c r="C60" s="33"/>
      <c r="D60" s="33"/>
      <c r="E60" s="33"/>
      <c r="F60" s="33"/>
    </row>
    <row r="61" spans="3:6" x14ac:dyDescent="0.25">
      <c r="C61" s="33"/>
      <c r="D61" s="33"/>
      <c r="E61" s="33"/>
      <c r="F61" s="33"/>
    </row>
    <row r="62" spans="3:6" x14ac:dyDescent="0.25">
      <c r="C62" s="33"/>
      <c r="D62" s="33"/>
      <c r="E62" s="33"/>
      <c r="F62" s="33"/>
    </row>
    <row r="63" spans="3:6" x14ac:dyDescent="0.25">
      <c r="C63" s="33"/>
      <c r="D63" s="33"/>
      <c r="E63" s="33"/>
      <c r="F63" s="33"/>
    </row>
    <row r="64" spans="3:6" x14ac:dyDescent="0.25">
      <c r="C64" s="33"/>
      <c r="D64" s="33"/>
      <c r="E64" s="33"/>
      <c r="F64" s="33"/>
    </row>
    <row r="65" spans="3:6" x14ac:dyDescent="0.25">
      <c r="C65" s="33"/>
      <c r="D65" s="33"/>
      <c r="E65" s="33"/>
      <c r="F65" s="33"/>
    </row>
    <row r="66" spans="3:6" x14ac:dyDescent="0.25">
      <c r="C66" s="33"/>
      <c r="D66" s="33"/>
      <c r="E66" s="33"/>
      <c r="F66" s="33"/>
    </row>
    <row r="67" spans="3:6" x14ac:dyDescent="0.25">
      <c r="C67" s="33"/>
      <c r="D67" s="33"/>
      <c r="E67" s="33"/>
      <c r="F67" s="33"/>
    </row>
    <row r="68" spans="3:6" x14ac:dyDescent="0.25">
      <c r="C68" s="33"/>
      <c r="D68" s="33"/>
      <c r="E68" s="33"/>
      <c r="F68" s="33"/>
    </row>
    <row r="69" spans="3:6" x14ac:dyDescent="0.25">
      <c r="C69" s="33"/>
      <c r="D69" s="33"/>
      <c r="E69" s="33"/>
      <c r="F69" s="33"/>
    </row>
    <row r="70" spans="3:6" x14ac:dyDescent="0.25">
      <c r="C70" s="33"/>
      <c r="D70" s="33"/>
      <c r="E70" s="33"/>
      <c r="F70" s="3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J42"/>
  <sheetViews>
    <sheetView workbookViewId="0">
      <pane xSplit="1" ySplit="3" topLeftCell="B12" activePane="bottomRight" state="frozen"/>
      <selection activeCell="B63" sqref="B63"/>
      <selection pane="topRight" activeCell="B63" sqref="B63"/>
      <selection pane="bottomLeft" activeCell="B63" sqref="B63"/>
      <selection pane="bottomRight" activeCell="B63" sqref="B63"/>
    </sheetView>
  </sheetViews>
  <sheetFormatPr defaultColWidth="8.85546875" defaultRowHeight="12.75" x14ac:dyDescent="0.2"/>
  <cols>
    <col min="1" max="1" width="17.140625" customWidth="1"/>
    <col min="2" max="2" width="15.85546875" customWidth="1"/>
    <col min="3" max="3" width="17.7109375" customWidth="1"/>
    <col min="4" max="4" width="11.42578125" customWidth="1"/>
    <col min="5" max="7" width="19.28515625" customWidth="1"/>
    <col min="8" max="8" width="18.28515625" customWidth="1"/>
    <col min="9" max="9" width="20.42578125" customWidth="1"/>
    <col min="10" max="10" width="10.140625" bestFit="1" customWidth="1"/>
    <col min="257" max="257" width="17.140625" customWidth="1"/>
    <col min="258" max="258" width="15.85546875" customWidth="1"/>
    <col min="259" max="259" width="17.7109375" customWidth="1"/>
    <col min="260" max="260" width="11.42578125" customWidth="1"/>
    <col min="261" max="263" width="19.28515625" customWidth="1"/>
    <col min="264" max="264" width="18.28515625" customWidth="1"/>
    <col min="265" max="265" width="20.42578125" customWidth="1"/>
    <col min="513" max="513" width="17.140625" customWidth="1"/>
    <col min="514" max="514" width="15.85546875" customWidth="1"/>
    <col min="515" max="515" width="17.7109375" customWidth="1"/>
    <col min="516" max="516" width="11.42578125" customWidth="1"/>
    <col min="517" max="519" width="19.28515625" customWidth="1"/>
    <col min="520" max="520" width="18.28515625" customWidth="1"/>
    <col min="521" max="521" width="20.42578125" customWidth="1"/>
    <col min="769" max="769" width="17.140625" customWidth="1"/>
    <col min="770" max="770" width="15.85546875" customWidth="1"/>
    <col min="771" max="771" width="17.7109375" customWidth="1"/>
    <col min="772" max="772" width="11.42578125" customWidth="1"/>
    <col min="773" max="775" width="19.28515625" customWidth="1"/>
    <col min="776" max="776" width="18.28515625" customWidth="1"/>
    <col min="777" max="777" width="20.42578125" customWidth="1"/>
    <col min="1025" max="1025" width="17.140625" customWidth="1"/>
    <col min="1026" max="1026" width="15.85546875" customWidth="1"/>
    <col min="1027" max="1027" width="17.7109375" customWidth="1"/>
    <col min="1028" max="1028" width="11.42578125" customWidth="1"/>
    <col min="1029" max="1031" width="19.28515625" customWidth="1"/>
    <col min="1032" max="1032" width="18.28515625" customWidth="1"/>
    <col min="1033" max="1033" width="20.42578125" customWidth="1"/>
    <col min="1281" max="1281" width="17.140625" customWidth="1"/>
    <col min="1282" max="1282" width="15.85546875" customWidth="1"/>
    <col min="1283" max="1283" width="17.7109375" customWidth="1"/>
    <col min="1284" max="1284" width="11.42578125" customWidth="1"/>
    <col min="1285" max="1287" width="19.28515625" customWidth="1"/>
    <col min="1288" max="1288" width="18.28515625" customWidth="1"/>
    <col min="1289" max="1289" width="20.42578125" customWidth="1"/>
    <col min="1537" max="1537" width="17.140625" customWidth="1"/>
    <col min="1538" max="1538" width="15.85546875" customWidth="1"/>
    <col min="1539" max="1539" width="17.7109375" customWidth="1"/>
    <col min="1540" max="1540" width="11.42578125" customWidth="1"/>
    <col min="1541" max="1543" width="19.28515625" customWidth="1"/>
    <col min="1544" max="1544" width="18.28515625" customWidth="1"/>
    <col min="1545" max="1545" width="20.42578125" customWidth="1"/>
    <col min="1793" max="1793" width="17.140625" customWidth="1"/>
    <col min="1794" max="1794" width="15.85546875" customWidth="1"/>
    <col min="1795" max="1795" width="17.7109375" customWidth="1"/>
    <col min="1796" max="1796" width="11.42578125" customWidth="1"/>
    <col min="1797" max="1799" width="19.28515625" customWidth="1"/>
    <col min="1800" max="1800" width="18.28515625" customWidth="1"/>
    <col min="1801" max="1801" width="20.42578125" customWidth="1"/>
    <col min="2049" max="2049" width="17.140625" customWidth="1"/>
    <col min="2050" max="2050" width="15.85546875" customWidth="1"/>
    <col min="2051" max="2051" width="17.7109375" customWidth="1"/>
    <col min="2052" max="2052" width="11.42578125" customWidth="1"/>
    <col min="2053" max="2055" width="19.28515625" customWidth="1"/>
    <col min="2056" max="2056" width="18.28515625" customWidth="1"/>
    <col min="2057" max="2057" width="20.42578125" customWidth="1"/>
    <col min="2305" max="2305" width="17.140625" customWidth="1"/>
    <col min="2306" max="2306" width="15.85546875" customWidth="1"/>
    <col min="2307" max="2307" width="17.7109375" customWidth="1"/>
    <col min="2308" max="2308" width="11.42578125" customWidth="1"/>
    <col min="2309" max="2311" width="19.28515625" customWidth="1"/>
    <col min="2312" max="2312" width="18.28515625" customWidth="1"/>
    <col min="2313" max="2313" width="20.42578125" customWidth="1"/>
    <col min="2561" max="2561" width="17.140625" customWidth="1"/>
    <col min="2562" max="2562" width="15.85546875" customWidth="1"/>
    <col min="2563" max="2563" width="17.7109375" customWidth="1"/>
    <col min="2564" max="2564" width="11.42578125" customWidth="1"/>
    <col min="2565" max="2567" width="19.28515625" customWidth="1"/>
    <col min="2568" max="2568" width="18.28515625" customWidth="1"/>
    <col min="2569" max="2569" width="20.42578125" customWidth="1"/>
    <col min="2817" max="2817" width="17.140625" customWidth="1"/>
    <col min="2818" max="2818" width="15.85546875" customWidth="1"/>
    <col min="2819" max="2819" width="17.7109375" customWidth="1"/>
    <col min="2820" max="2820" width="11.42578125" customWidth="1"/>
    <col min="2821" max="2823" width="19.28515625" customWidth="1"/>
    <col min="2824" max="2824" width="18.28515625" customWidth="1"/>
    <col min="2825" max="2825" width="20.42578125" customWidth="1"/>
    <col min="3073" max="3073" width="17.140625" customWidth="1"/>
    <col min="3074" max="3074" width="15.85546875" customWidth="1"/>
    <col min="3075" max="3075" width="17.7109375" customWidth="1"/>
    <col min="3076" max="3076" width="11.42578125" customWidth="1"/>
    <col min="3077" max="3079" width="19.28515625" customWidth="1"/>
    <col min="3080" max="3080" width="18.28515625" customWidth="1"/>
    <col min="3081" max="3081" width="20.42578125" customWidth="1"/>
    <col min="3329" max="3329" width="17.140625" customWidth="1"/>
    <col min="3330" max="3330" width="15.85546875" customWidth="1"/>
    <col min="3331" max="3331" width="17.7109375" customWidth="1"/>
    <col min="3332" max="3332" width="11.42578125" customWidth="1"/>
    <col min="3333" max="3335" width="19.28515625" customWidth="1"/>
    <col min="3336" max="3336" width="18.28515625" customWidth="1"/>
    <col min="3337" max="3337" width="20.42578125" customWidth="1"/>
    <col min="3585" max="3585" width="17.140625" customWidth="1"/>
    <col min="3586" max="3586" width="15.85546875" customWidth="1"/>
    <col min="3587" max="3587" width="17.7109375" customWidth="1"/>
    <col min="3588" max="3588" width="11.42578125" customWidth="1"/>
    <col min="3589" max="3591" width="19.28515625" customWidth="1"/>
    <col min="3592" max="3592" width="18.28515625" customWidth="1"/>
    <col min="3593" max="3593" width="20.42578125" customWidth="1"/>
    <col min="3841" max="3841" width="17.140625" customWidth="1"/>
    <col min="3842" max="3842" width="15.85546875" customWidth="1"/>
    <col min="3843" max="3843" width="17.7109375" customWidth="1"/>
    <col min="3844" max="3844" width="11.42578125" customWidth="1"/>
    <col min="3845" max="3847" width="19.28515625" customWidth="1"/>
    <col min="3848" max="3848" width="18.28515625" customWidth="1"/>
    <col min="3849" max="3849" width="20.42578125" customWidth="1"/>
    <col min="4097" max="4097" width="17.140625" customWidth="1"/>
    <col min="4098" max="4098" width="15.85546875" customWidth="1"/>
    <col min="4099" max="4099" width="17.7109375" customWidth="1"/>
    <col min="4100" max="4100" width="11.42578125" customWidth="1"/>
    <col min="4101" max="4103" width="19.28515625" customWidth="1"/>
    <col min="4104" max="4104" width="18.28515625" customWidth="1"/>
    <col min="4105" max="4105" width="20.42578125" customWidth="1"/>
    <col min="4353" max="4353" width="17.140625" customWidth="1"/>
    <col min="4354" max="4354" width="15.85546875" customWidth="1"/>
    <col min="4355" max="4355" width="17.7109375" customWidth="1"/>
    <col min="4356" max="4356" width="11.42578125" customWidth="1"/>
    <col min="4357" max="4359" width="19.28515625" customWidth="1"/>
    <col min="4360" max="4360" width="18.28515625" customWidth="1"/>
    <col min="4361" max="4361" width="20.42578125" customWidth="1"/>
    <col min="4609" max="4609" width="17.140625" customWidth="1"/>
    <col min="4610" max="4610" width="15.85546875" customWidth="1"/>
    <col min="4611" max="4611" width="17.7109375" customWidth="1"/>
    <col min="4612" max="4612" width="11.42578125" customWidth="1"/>
    <col min="4613" max="4615" width="19.28515625" customWidth="1"/>
    <col min="4616" max="4616" width="18.28515625" customWidth="1"/>
    <col min="4617" max="4617" width="20.42578125" customWidth="1"/>
    <col min="4865" max="4865" width="17.140625" customWidth="1"/>
    <col min="4866" max="4866" width="15.85546875" customWidth="1"/>
    <col min="4867" max="4867" width="17.7109375" customWidth="1"/>
    <col min="4868" max="4868" width="11.42578125" customWidth="1"/>
    <col min="4869" max="4871" width="19.28515625" customWidth="1"/>
    <col min="4872" max="4872" width="18.28515625" customWidth="1"/>
    <col min="4873" max="4873" width="20.42578125" customWidth="1"/>
    <col min="5121" max="5121" width="17.140625" customWidth="1"/>
    <col min="5122" max="5122" width="15.85546875" customWidth="1"/>
    <col min="5123" max="5123" width="17.7109375" customWidth="1"/>
    <col min="5124" max="5124" width="11.42578125" customWidth="1"/>
    <col min="5125" max="5127" width="19.28515625" customWidth="1"/>
    <col min="5128" max="5128" width="18.28515625" customWidth="1"/>
    <col min="5129" max="5129" width="20.42578125" customWidth="1"/>
    <col min="5377" max="5377" width="17.140625" customWidth="1"/>
    <col min="5378" max="5378" width="15.85546875" customWidth="1"/>
    <col min="5379" max="5379" width="17.7109375" customWidth="1"/>
    <col min="5380" max="5380" width="11.42578125" customWidth="1"/>
    <col min="5381" max="5383" width="19.28515625" customWidth="1"/>
    <col min="5384" max="5384" width="18.28515625" customWidth="1"/>
    <col min="5385" max="5385" width="20.42578125" customWidth="1"/>
    <col min="5633" max="5633" width="17.140625" customWidth="1"/>
    <col min="5634" max="5634" width="15.85546875" customWidth="1"/>
    <col min="5635" max="5635" width="17.7109375" customWidth="1"/>
    <col min="5636" max="5636" width="11.42578125" customWidth="1"/>
    <col min="5637" max="5639" width="19.28515625" customWidth="1"/>
    <col min="5640" max="5640" width="18.28515625" customWidth="1"/>
    <col min="5641" max="5641" width="20.42578125" customWidth="1"/>
    <col min="5889" max="5889" width="17.140625" customWidth="1"/>
    <col min="5890" max="5890" width="15.85546875" customWidth="1"/>
    <col min="5891" max="5891" width="17.7109375" customWidth="1"/>
    <col min="5892" max="5892" width="11.42578125" customWidth="1"/>
    <col min="5893" max="5895" width="19.28515625" customWidth="1"/>
    <col min="5896" max="5896" width="18.28515625" customWidth="1"/>
    <col min="5897" max="5897" width="20.42578125" customWidth="1"/>
    <col min="6145" max="6145" width="17.140625" customWidth="1"/>
    <col min="6146" max="6146" width="15.85546875" customWidth="1"/>
    <col min="6147" max="6147" width="17.7109375" customWidth="1"/>
    <col min="6148" max="6148" width="11.42578125" customWidth="1"/>
    <col min="6149" max="6151" width="19.28515625" customWidth="1"/>
    <col min="6152" max="6152" width="18.28515625" customWidth="1"/>
    <col min="6153" max="6153" width="20.42578125" customWidth="1"/>
    <col min="6401" max="6401" width="17.140625" customWidth="1"/>
    <col min="6402" max="6402" width="15.85546875" customWidth="1"/>
    <col min="6403" max="6403" width="17.7109375" customWidth="1"/>
    <col min="6404" max="6404" width="11.42578125" customWidth="1"/>
    <col min="6405" max="6407" width="19.28515625" customWidth="1"/>
    <col min="6408" max="6408" width="18.28515625" customWidth="1"/>
    <col min="6409" max="6409" width="20.42578125" customWidth="1"/>
    <col min="6657" max="6657" width="17.140625" customWidth="1"/>
    <col min="6658" max="6658" width="15.85546875" customWidth="1"/>
    <col min="6659" max="6659" width="17.7109375" customWidth="1"/>
    <col min="6660" max="6660" width="11.42578125" customWidth="1"/>
    <col min="6661" max="6663" width="19.28515625" customWidth="1"/>
    <col min="6664" max="6664" width="18.28515625" customWidth="1"/>
    <col min="6665" max="6665" width="20.42578125" customWidth="1"/>
    <col min="6913" max="6913" width="17.140625" customWidth="1"/>
    <col min="6914" max="6914" width="15.85546875" customWidth="1"/>
    <col min="6915" max="6915" width="17.7109375" customWidth="1"/>
    <col min="6916" max="6916" width="11.42578125" customWidth="1"/>
    <col min="6917" max="6919" width="19.28515625" customWidth="1"/>
    <col min="6920" max="6920" width="18.28515625" customWidth="1"/>
    <col min="6921" max="6921" width="20.42578125" customWidth="1"/>
    <col min="7169" max="7169" width="17.140625" customWidth="1"/>
    <col min="7170" max="7170" width="15.85546875" customWidth="1"/>
    <col min="7171" max="7171" width="17.7109375" customWidth="1"/>
    <col min="7172" max="7172" width="11.42578125" customWidth="1"/>
    <col min="7173" max="7175" width="19.28515625" customWidth="1"/>
    <col min="7176" max="7176" width="18.28515625" customWidth="1"/>
    <col min="7177" max="7177" width="20.42578125" customWidth="1"/>
    <col min="7425" max="7425" width="17.140625" customWidth="1"/>
    <col min="7426" max="7426" width="15.85546875" customWidth="1"/>
    <col min="7427" max="7427" width="17.7109375" customWidth="1"/>
    <col min="7428" max="7428" width="11.42578125" customWidth="1"/>
    <col min="7429" max="7431" width="19.28515625" customWidth="1"/>
    <col min="7432" max="7432" width="18.28515625" customWidth="1"/>
    <col min="7433" max="7433" width="20.42578125" customWidth="1"/>
    <col min="7681" max="7681" width="17.140625" customWidth="1"/>
    <col min="7682" max="7682" width="15.85546875" customWidth="1"/>
    <col min="7683" max="7683" width="17.7109375" customWidth="1"/>
    <col min="7684" max="7684" width="11.42578125" customWidth="1"/>
    <col min="7685" max="7687" width="19.28515625" customWidth="1"/>
    <col min="7688" max="7688" width="18.28515625" customWidth="1"/>
    <col min="7689" max="7689" width="20.42578125" customWidth="1"/>
    <col min="7937" max="7937" width="17.140625" customWidth="1"/>
    <col min="7938" max="7938" width="15.85546875" customWidth="1"/>
    <col min="7939" max="7939" width="17.7109375" customWidth="1"/>
    <col min="7940" max="7940" width="11.42578125" customWidth="1"/>
    <col min="7941" max="7943" width="19.28515625" customWidth="1"/>
    <col min="7944" max="7944" width="18.28515625" customWidth="1"/>
    <col min="7945" max="7945" width="20.42578125" customWidth="1"/>
    <col min="8193" max="8193" width="17.140625" customWidth="1"/>
    <col min="8194" max="8194" width="15.85546875" customWidth="1"/>
    <col min="8195" max="8195" width="17.7109375" customWidth="1"/>
    <col min="8196" max="8196" width="11.42578125" customWidth="1"/>
    <col min="8197" max="8199" width="19.28515625" customWidth="1"/>
    <col min="8200" max="8200" width="18.28515625" customWidth="1"/>
    <col min="8201" max="8201" width="20.42578125" customWidth="1"/>
    <col min="8449" max="8449" width="17.140625" customWidth="1"/>
    <col min="8450" max="8450" width="15.85546875" customWidth="1"/>
    <col min="8451" max="8451" width="17.7109375" customWidth="1"/>
    <col min="8452" max="8452" width="11.42578125" customWidth="1"/>
    <col min="8453" max="8455" width="19.28515625" customWidth="1"/>
    <col min="8456" max="8456" width="18.28515625" customWidth="1"/>
    <col min="8457" max="8457" width="20.42578125" customWidth="1"/>
    <col min="8705" max="8705" width="17.140625" customWidth="1"/>
    <col min="8706" max="8706" width="15.85546875" customWidth="1"/>
    <col min="8707" max="8707" width="17.7109375" customWidth="1"/>
    <col min="8708" max="8708" width="11.42578125" customWidth="1"/>
    <col min="8709" max="8711" width="19.28515625" customWidth="1"/>
    <col min="8712" max="8712" width="18.28515625" customWidth="1"/>
    <col min="8713" max="8713" width="20.42578125" customWidth="1"/>
    <col min="8961" max="8961" width="17.140625" customWidth="1"/>
    <col min="8962" max="8962" width="15.85546875" customWidth="1"/>
    <col min="8963" max="8963" width="17.7109375" customWidth="1"/>
    <col min="8964" max="8964" width="11.42578125" customWidth="1"/>
    <col min="8965" max="8967" width="19.28515625" customWidth="1"/>
    <col min="8968" max="8968" width="18.28515625" customWidth="1"/>
    <col min="8969" max="8969" width="20.42578125" customWidth="1"/>
    <col min="9217" max="9217" width="17.140625" customWidth="1"/>
    <col min="9218" max="9218" width="15.85546875" customWidth="1"/>
    <col min="9219" max="9219" width="17.7109375" customWidth="1"/>
    <col min="9220" max="9220" width="11.42578125" customWidth="1"/>
    <col min="9221" max="9223" width="19.28515625" customWidth="1"/>
    <col min="9224" max="9224" width="18.28515625" customWidth="1"/>
    <col min="9225" max="9225" width="20.42578125" customWidth="1"/>
    <col min="9473" max="9473" width="17.140625" customWidth="1"/>
    <col min="9474" max="9474" width="15.85546875" customWidth="1"/>
    <col min="9475" max="9475" width="17.7109375" customWidth="1"/>
    <col min="9476" max="9476" width="11.42578125" customWidth="1"/>
    <col min="9477" max="9479" width="19.28515625" customWidth="1"/>
    <col min="9480" max="9480" width="18.28515625" customWidth="1"/>
    <col min="9481" max="9481" width="20.42578125" customWidth="1"/>
    <col min="9729" max="9729" width="17.140625" customWidth="1"/>
    <col min="9730" max="9730" width="15.85546875" customWidth="1"/>
    <col min="9731" max="9731" width="17.7109375" customWidth="1"/>
    <col min="9732" max="9732" width="11.42578125" customWidth="1"/>
    <col min="9733" max="9735" width="19.28515625" customWidth="1"/>
    <col min="9736" max="9736" width="18.28515625" customWidth="1"/>
    <col min="9737" max="9737" width="20.42578125" customWidth="1"/>
    <col min="9985" max="9985" width="17.140625" customWidth="1"/>
    <col min="9986" max="9986" width="15.85546875" customWidth="1"/>
    <col min="9987" max="9987" width="17.7109375" customWidth="1"/>
    <col min="9988" max="9988" width="11.42578125" customWidth="1"/>
    <col min="9989" max="9991" width="19.28515625" customWidth="1"/>
    <col min="9992" max="9992" width="18.28515625" customWidth="1"/>
    <col min="9993" max="9993" width="20.42578125" customWidth="1"/>
    <col min="10241" max="10241" width="17.140625" customWidth="1"/>
    <col min="10242" max="10242" width="15.85546875" customWidth="1"/>
    <col min="10243" max="10243" width="17.7109375" customWidth="1"/>
    <col min="10244" max="10244" width="11.42578125" customWidth="1"/>
    <col min="10245" max="10247" width="19.28515625" customWidth="1"/>
    <col min="10248" max="10248" width="18.28515625" customWidth="1"/>
    <col min="10249" max="10249" width="20.42578125" customWidth="1"/>
    <col min="10497" max="10497" width="17.140625" customWidth="1"/>
    <col min="10498" max="10498" width="15.85546875" customWidth="1"/>
    <col min="10499" max="10499" width="17.7109375" customWidth="1"/>
    <col min="10500" max="10500" width="11.42578125" customWidth="1"/>
    <col min="10501" max="10503" width="19.28515625" customWidth="1"/>
    <col min="10504" max="10504" width="18.28515625" customWidth="1"/>
    <col min="10505" max="10505" width="20.42578125" customWidth="1"/>
    <col min="10753" max="10753" width="17.140625" customWidth="1"/>
    <col min="10754" max="10754" width="15.85546875" customWidth="1"/>
    <col min="10755" max="10755" width="17.7109375" customWidth="1"/>
    <col min="10756" max="10756" width="11.42578125" customWidth="1"/>
    <col min="10757" max="10759" width="19.28515625" customWidth="1"/>
    <col min="10760" max="10760" width="18.28515625" customWidth="1"/>
    <col min="10761" max="10761" width="20.42578125" customWidth="1"/>
    <col min="11009" max="11009" width="17.140625" customWidth="1"/>
    <col min="11010" max="11010" width="15.85546875" customWidth="1"/>
    <col min="11011" max="11011" width="17.7109375" customWidth="1"/>
    <col min="11012" max="11012" width="11.42578125" customWidth="1"/>
    <col min="11013" max="11015" width="19.28515625" customWidth="1"/>
    <col min="11016" max="11016" width="18.28515625" customWidth="1"/>
    <col min="11017" max="11017" width="20.42578125" customWidth="1"/>
    <col min="11265" max="11265" width="17.140625" customWidth="1"/>
    <col min="11266" max="11266" width="15.85546875" customWidth="1"/>
    <col min="11267" max="11267" width="17.7109375" customWidth="1"/>
    <col min="11268" max="11268" width="11.42578125" customWidth="1"/>
    <col min="11269" max="11271" width="19.28515625" customWidth="1"/>
    <col min="11272" max="11272" width="18.28515625" customWidth="1"/>
    <col min="11273" max="11273" width="20.42578125" customWidth="1"/>
    <col min="11521" max="11521" width="17.140625" customWidth="1"/>
    <col min="11522" max="11522" width="15.85546875" customWidth="1"/>
    <col min="11523" max="11523" width="17.7109375" customWidth="1"/>
    <col min="11524" max="11524" width="11.42578125" customWidth="1"/>
    <col min="11525" max="11527" width="19.28515625" customWidth="1"/>
    <col min="11528" max="11528" width="18.28515625" customWidth="1"/>
    <col min="11529" max="11529" width="20.42578125" customWidth="1"/>
    <col min="11777" max="11777" width="17.140625" customWidth="1"/>
    <col min="11778" max="11778" width="15.85546875" customWidth="1"/>
    <col min="11779" max="11779" width="17.7109375" customWidth="1"/>
    <col min="11780" max="11780" width="11.42578125" customWidth="1"/>
    <col min="11781" max="11783" width="19.28515625" customWidth="1"/>
    <col min="11784" max="11784" width="18.28515625" customWidth="1"/>
    <col min="11785" max="11785" width="20.42578125" customWidth="1"/>
    <col min="12033" max="12033" width="17.140625" customWidth="1"/>
    <col min="12034" max="12034" width="15.85546875" customWidth="1"/>
    <col min="12035" max="12035" width="17.7109375" customWidth="1"/>
    <col min="12036" max="12036" width="11.42578125" customWidth="1"/>
    <col min="12037" max="12039" width="19.28515625" customWidth="1"/>
    <col min="12040" max="12040" width="18.28515625" customWidth="1"/>
    <col min="12041" max="12041" width="20.42578125" customWidth="1"/>
    <col min="12289" max="12289" width="17.140625" customWidth="1"/>
    <col min="12290" max="12290" width="15.85546875" customWidth="1"/>
    <col min="12291" max="12291" width="17.7109375" customWidth="1"/>
    <col min="12292" max="12292" width="11.42578125" customWidth="1"/>
    <col min="12293" max="12295" width="19.28515625" customWidth="1"/>
    <col min="12296" max="12296" width="18.28515625" customWidth="1"/>
    <col min="12297" max="12297" width="20.42578125" customWidth="1"/>
    <col min="12545" max="12545" width="17.140625" customWidth="1"/>
    <col min="12546" max="12546" width="15.85546875" customWidth="1"/>
    <col min="12547" max="12547" width="17.7109375" customWidth="1"/>
    <col min="12548" max="12548" width="11.42578125" customWidth="1"/>
    <col min="12549" max="12551" width="19.28515625" customWidth="1"/>
    <col min="12552" max="12552" width="18.28515625" customWidth="1"/>
    <col min="12553" max="12553" width="20.42578125" customWidth="1"/>
    <col min="12801" max="12801" width="17.140625" customWidth="1"/>
    <col min="12802" max="12802" width="15.85546875" customWidth="1"/>
    <col min="12803" max="12803" width="17.7109375" customWidth="1"/>
    <col min="12804" max="12804" width="11.42578125" customWidth="1"/>
    <col min="12805" max="12807" width="19.28515625" customWidth="1"/>
    <col min="12808" max="12808" width="18.28515625" customWidth="1"/>
    <col min="12809" max="12809" width="20.42578125" customWidth="1"/>
    <col min="13057" max="13057" width="17.140625" customWidth="1"/>
    <col min="13058" max="13058" width="15.85546875" customWidth="1"/>
    <col min="13059" max="13059" width="17.7109375" customWidth="1"/>
    <col min="13060" max="13060" width="11.42578125" customWidth="1"/>
    <col min="13061" max="13063" width="19.28515625" customWidth="1"/>
    <col min="13064" max="13064" width="18.28515625" customWidth="1"/>
    <col min="13065" max="13065" width="20.42578125" customWidth="1"/>
    <col min="13313" max="13313" width="17.140625" customWidth="1"/>
    <col min="13314" max="13314" width="15.85546875" customWidth="1"/>
    <col min="13315" max="13315" width="17.7109375" customWidth="1"/>
    <col min="13316" max="13316" width="11.42578125" customWidth="1"/>
    <col min="13317" max="13319" width="19.28515625" customWidth="1"/>
    <col min="13320" max="13320" width="18.28515625" customWidth="1"/>
    <col min="13321" max="13321" width="20.42578125" customWidth="1"/>
    <col min="13569" max="13569" width="17.140625" customWidth="1"/>
    <col min="13570" max="13570" width="15.85546875" customWidth="1"/>
    <col min="13571" max="13571" width="17.7109375" customWidth="1"/>
    <col min="13572" max="13572" width="11.42578125" customWidth="1"/>
    <col min="13573" max="13575" width="19.28515625" customWidth="1"/>
    <col min="13576" max="13576" width="18.28515625" customWidth="1"/>
    <col min="13577" max="13577" width="20.42578125" customWidth="1"/>
    <col min="13825" max="13825" width="17.140625" customWidth="1"/>
    <col min="13826" max="13826" width="15.85546875" customWidth="1"/>
    <col min="13827" max="13827" width="17.7109375" customWidth="1"/>
    <col min="13828" max="13828" width="11.42578125" customWidth="1"/>
    <col min="13829" max="13831" width="19.28515625" customWidth="1"/>
    <col min="13832" max="13832" width="18.28515625" customWidth="1"/>
    <col min="13833" max="13833" width="20.42578125" customWidth="1"/>
    <col min="14081" max="14081" width="17.140625" customWidth="1"/>
    <col min="14082" max="14082" width="15.85546875" customWidth="1"/>
    <col min="14083" max="14083" width="17.7109375" customWidth="1"/>
    <col min="14084" max="14084" width="11.42578125" customWidth="1"/>
    <col min="14085" max="14087" width="19.28515625" customWidth="1"/>
    <col min="14088" max="14088" width="18.28515625" customWidth="1"/>
    <col min="14089" max="14089" width="20.42578125" customWidth="1"/>
    <col min="14337" max="14337" width="17.140625" customWidth="1"/>
    <col min="14338" max="14338" width="15.85546875" customWidth="1"/>
    <col min="14339" max="14339" width="17.7109375" customWidth="1"/>
    <col min="14340" max="14340" width="11.42578125" customWidth="1"/>
    <col min="14341" max="14343" width="19.28515625" customWidth="1"/>
    <col min="14344" max="14344" width="18.28515625" customWidth="1"/>
    <col min="14345" max="14345" width="20.42578125" customWidth="1"/>
    <col min="14593" max="14593" width="17.140625" customWidth="1"/>
    <col min="14594" max="14594" width="15.85546875" customWidth="1"/>
    <col min="14595" max="14595" width="17.7109375" customWidth="1"/>
    <col min="14596" max="14596" width="11.42578125" customWidth="1"/>
    <col min="14597" max="14599" width="19.28515625" customWidth="1"/>
    <col min="14600" max="14600" width="18.28515625" customWidth="1"/>
    <col min="14601" max="14601" width="20.42578125" customWidth="1"/>
    <col min="14849" max="14849" width="17.140625" customWidth="1"/>
    <col min="14850" max="14850" width="15.85546875" customWidth="1"/>
    <col min="14851" max="14851" width="17.7109375" customWidth="1"/>
    <col min="14852" max="14852" width="11.42578125" customWidth="1"/>
    <col min="14853" max="14855" width="19.28515625" customWidth="1"/>
    <col min="14856" max="14856" width="18.28515625" customWidth="1"/>
    <col min="14857" max="14857" width="20.42578125" customWidth="1"/>
    <col min="15105" max="15105" width="17.140625" customWidth="1"/>
    <col min="15106" max="15106" width="15.85546875" customWidth="1"/>
    <col min="15107" max="15107" width="17.7109375" customWidth="1"/>
    <col min="15108" max="15108" width="11.42578125" customWidth="1"/>
    <col min="15109" max="15111" width="19.28515625" customWidth="1"/>
    <col min="15112" max="15112" width="18.28515625" customWidth="1"/>
    <col min="15113" max="15113" width="20.42578125" customWidth="1"/>
    <col min="15361" max="15361" width="17.140625" customWidth="1"/>
    <col min="15362" max="15362" width="15.85546875" customWidth="1"/>
    <col min="15363" max="15363" width="17.7109375" customWidth="1"/>
    <col min="15364" max="15364" width="11.42578125" customWidth="1"/>
    <col min="15365" max="15367" width="19.28515625" customWidth="1"/>
    <col min="15368" max="15368" width="18.28515625" customWidth="1"/>
    <col min="15369" max="15369" width="20.42578125" customWidth="1"/>
    <col min="15617" max="15617" width="17.140625" customWidth="1"/>
    <col min="15618" max="15618" width="15.85546875" customWidth="1"/>
    <col min="15619" max="15619" width="17.7109375" customWidth="1"/>
    <col min="15620" max="15620" width="11.42578125" customWidth="1"/>
    <col min="15621" max="15623" width="19.28515625" customWidth="1"/>
    <col min="15624" max="15624" width="18.28515625" customWidth="1"/>
    <col min="15625" max="15625" width="20.42578125" customWidth="1"/>
    <col min="15873" max="15873" width="17.140625" customWidth="1"/>
    <col min="15874" max="15874" width="15.85546875" customWidth="1"/>
    <col min="15875" max="15875" width="17.7109375" customWidth="1"/>
    <col min="15876" max="15876" width="11.42578125" customWidth="1"/>
    <col min="15877" max="15879" width="19.28515625" customWidth="1"/>
    <col min="15880" max="15880" width="18.28515625" customWidth="1"/>
    <col min="15881" max="15881" width="20.42578125" customWidth="1"/>
    <col min="16129" max="16129" width="17.140625" customWidth="1"/>
    <col min="16130" max="16130" width="15.85546875" customWidth="1"/>
    <col min="16131" max="16131" width="17.7109375" customWidth="1"/>
    <col min="16132" max="16132" width="11.42578125" customWidth="1"/>
    <col min="16133" max="16135" width="19.28515625" customWidth="1"/>
    <col min="16136" max="16136" width="18.28515625" customWidth="1"/>
    <col min="16137" max="16137" width="20.42578125" customWidth="1"/>
  </cols>
  <sheetData>
    <row r="3" spans="1:10" x14ac:dyDescent="0.2">
      <c r="B3" s="81" t="s">
        <v>158</v>
      </c>
      <c r="C3" t="s">
        <v>159</v>
      </c>
      <c r="D3" s="82" t="s">
        <v>160</v>
      </c>
      <c r="E3" t="s">
        <v>161</v>
      </c>
      <c r="F3" t="s">
        <v>162</v>
      </c>
      <c r="G3" t="s">
        <v>163</v>
      </c>
      <c r="H3" t="s">
        <v>164</v>
      </c>
      <c r="I3" t="s">
        <v>165</v>
      </c>
    </row>
    <row r="4" spans="1:10" x14ac:dyDescent="0.2">
      <c r="A4" s="83" t="s">
        <v>166</v>
      </c>
      <c r="B4">
        <v>95</v>
      </c>
      <c r="C4">
        <v>8</v>
      </c>
      <c r="D4" s="84">
        <f>B4*C4</f>
        <v>760</v>
      </c>
      <c r="F4">
        <v>260</v>
      </c>
      <c r="G4">
        <v>0.65</v>
      </c>
      <c r="H4" s="84">
        <f>F4*G4</f>
        <v>169</v>
      </c>
      <c r="J4" s="84">
        <f>D4+H4</f>
        <v>929</v>
      </c>
    </row>
    <row r="5" spans="1:10" x14ac:dyDescent="0.2">
      <c r="A5" s="83" t="s">
        <v>167</v>
      </c>
      <c r="B5">
        <v>99</v>
      </c>
      <c r="C5">
        <v>8</v>
      </c>
      <c r="D5" s="84">
        <f t="shared" ref="D5:D40" si="0">B5*C5</f>
        <v>792</v>
      </c>
      <c r="F5">
        <v>260</v>
      </c>
      <c r="G5">
        <v>0.65</v>
      </c>
      <c r="H5" s="84">
        <f t="shared" ref="H5:H40" si="1">F5*G5</f>
        <v>169</v>
      </c>
      <c r="J5" s="84">
        <f t="shared" ref="J5:J42" si="2">D5+H5</f>
        <v>961</v>
      </c>
    </row>
    <row r="6" spans="1:10" x14ac:dyDescent="0.2">
      <c r="A6" s="83" t="s">
        <v>168</v>
      </c>
      <c r="B6">
        <v>99</v>
      </c>
      <c r="C6">
        <v>8</v>
      </c>
      <c r="D6" s="84">
        <f t="shared" si="0"/>
        <v>792</v>
      </c>
      <c r="F6">
        <v>260</v>
      </c>
      <c r="G6">
        <v>0.65</v>
      </c>
      <c r="H6" s="84">
        <f t="shared" si="1"/>
        <v>169</v>
      </c>
      <c r="J6" s="84">
        <f t="shared" si="2"/>
        <v>961</v>
      </c>
    </row>
    <row r="7" spans="1:10" x14ac:dyDescent="0.2">
      <c r="A7" s="83" t="s">
        <v>169</v>
      </c>
      <c r="B7">
        <v>99</v>
      </c>
      <c r="C7">
        <v>8</v>
      </c>
      <c r="D7" s="84">
        <f t="shared" si="0"/>
        <v>792</v>
      </c>
      <c r="F7">
        <v>260</v>
      </c>
      <c r="G7">
        <v>0.65</v>
      </c>
      <c r="H7" s="84">
        <f t="shared" si="1"/>
        <v>169</v>
      </c>
      <c r="J7" s="84">
        <f t="shared" si="2"/>
        <v>961</v>
      </c>
    </row>
    <row r="8" spans="1:10" x14ac:dyDescent="0.2">
      <c r="A8" t="s">
        <v>170</v>
      </c>
      <c r="B8">
        <v>99</v>
      </c>
      <c r="C8">
        <v>8</v>
      </c>
      <c r="D8" s="84">
        <f t="shared" si="0"/>
        <v>792</v>
      </c>
      <c r="F8">
        <v>260</v>
      </c>
      <c r="G8">
        <v>0.65</v>
      </c>
      <c r="H8" s="84">
        <f t="shared" si="1"/>
        <v>169</v>
      </c>
      <c r="J8" s="84">
        <f t="shared" si="2"/>
        <v>961</v>
      </c>
    </row>
    <row r="9" spans="1:10" x14ac:dyDescent="0.2">
      <c r="A9" t="s">
        <v>171</v>
      </c>
      <c r="B9">
        <v>99</v>
      </c>
      <c r="C9">
        <v>8</v>
      </c>
      <c r="D9" s="84">
        <f t="shared" si="0"/>
        <v>792</v>
      </c>
      <c r="F9">
        <v>260</v>
      </c>
      <c r="G9">
        <v>0.65</v>
      </c>
      <c r="H9" s="84">
        <f t="shared" si="1"/>
        <v>169</v>
      </c>
      <c r="J9" s="84">
        <f t="shared" si="2"/>
        <v>961</v>
      </c>
    </row>
    <row r="10" spans="1:10" x14ac:dyDescent="0.2">
      <c r="A10" t="s">
        <v>172</v>
      </c>
      <c r="B10">
        <v>99</v>
      </c>
      <c r="C10">
        <v>8</v>
      </c>
      <c r="D10" s="84">
        <f t="shared" si="0"/>
        <v>792</v>
      </c>
      <c r="F10">
        <v>260</v>
      </c>
      <c r="G10">
        <v>0.65</v>
      </c>
      <c r="H10" s="84">
        <f t="shared" si="1"/>
        <v>169</v>
      </c>
      <c r="J10" s="84">
        <f t="shared" si="2"/>
        <v>961</v>
      </c>
    </row>
    <row r="11" spans="1:10" x14ac:dyDescent="0.2">
      <c r="A11" t="s">
        <v>173</v>
      </c>
      <c r="B11">
        <v>99</v>
      </c>
      <c r="C11">
        <v>8</v>
      </c>
      <c r="D11" s="84">
        <f t="shared" si="0"/>
        <v>792</v>
      </c>
      <c r="F11">
        <v>260</v>
      </c>
      <c r="G11">
        <v>0.65</v>
      </c>
      <c r="H11" s="84">
        <f t="shared" si="1"/>
        <v>169</v>
      </c>
      <c r="J11" s="84">
        <f t="shared" si="2"/>
        <v>961</v>
      </c>
    </row>
    <row r="12" spans="1:10" x14ac:dyDescent="0.2">
      <c r="A12" t="s">
        <v>174</v>
      </c>
      <c r="B12">
        <v>99</v>
      </c>
      <c r="C12">
        <v>8</v>
      </c>
      <c r="D12" s="84">
        <f>B12*C12</f>
        <v>792</v>
      </c>
      <c r="F12">
        <v>260</v>
      </c>
      <c r="G12">
        <v>0.65</v>
      </c>
      <c r="H12" s="84">
        <f t="shared" si="1"/>
        <v>169</v>
      </c>
      <c r="J12" s="84">
        <f t="shared" si="2"/>
        <v>961</v>
      </c>
    </row>
    <row r="13" spans="1:10" x14ac:dyDescent="0.2">
      <c r="A13" t="s">
        <v>175</v>
      </c>
      <c r="B13">
        <v>99</v>
      </c>
      <c r="C13">
        <v>8</v>
      </c>
      <c r="D13" s="84">
        <f t="shared" si="0"/>
        <v>792</v>
      </c>
      <c r="F13">
        <v>260</v>
      </c>
      <c r="G13">
        <v>0.65</v>
      </c>
      <c r="H13" s="84">
        <f t="shared" si="1"/>
        <v>169</v>
      </c>
      <c r="J13" s="84">
        <f t="shared" si="2"/>
        <v>961</v>
      </c>
    </row>
    <row r="14" spans="1:10" x14ac:dyDescent="0.2">
      <c r="A14" t="s">
        <v>176</v>
      </c>
      <c r="B14">
        <v>99</v>
      </c>
      <c r="C14">
        <v>8</v>
      </c>
      <c r="D14" s="84">
        <f t="shared" si="0"/>
        <v>792</v>
      </c>
      <c r="F14">
        <v>260</v>
      </c>
      <c r="G14">
        <v>0.65</v>
      </c>
      <c r="H14" s="84">
        <f t="shared" si="1"/>
        <v>169</v>
      </c>
      <c r="J14" s="84">
        <f t="shared" si="2"/>
        <v>961</v>
      </c>
    </row>
    <row r="15" spans="1:10" x14ac:dyDescent="0.2">
      <c r="A15" t="s">
        <v>177</v>
      </c>
      <c r="B15">
        <v>99</v>
      </c>
      <c r="C15">
        <v>8</v>
      </c>
      <c r="D15" s="84">
        <f t="shared" si="0"/>
        <v>792</v>
      </c>
      <c r="F15">
        <v>260</v>
      </c>
      <c r="G15">
        <v>0.65</v>
      </c>
      <c r="H15" s="84">
        <f t="shared" si="1"/>
        <v>169</v>
      </c>
      <c r="J15" s="84">
        <f t="shared" si="2"/>
        <v>961</v>
      </c>
    </row>
    <row r="16" spans="1:10" x14ac:dyDescent="0.2">
      <c r="A16" t="s">
        <v>178</v>
      </c>
      <c r="B16">
        <v>99</v>
      </c>
      <c r="C16">
        <v>8</v>
      </c>
      <c r="D16" s="84">
        <f t="shared" si="0"/>
        <v>792</v>
      </c>
      <c r="F16">
        <v>260</v>
      </c>
      <c r="G16">
        <v>0.65</v>
      </c>
      <c r="H16" s="84">
        <f t="shared" si="1"/>
        <v>169</v>
      </c>
      <c r="J16" s="84">
        <f t="shared" si="2"/>
        <v>961</v>
      </c>
    </row>
    <row r="17" spans="1:10" x14ac:dyDescent="0.2">
      <c r="A17" t="s">
        <v>179</v>
      </c>
      <c r="B17">
        <v>99</v>
      </c>
      <c r="C17">
        <v>8</v>
      </c>
      <c r="D17" s="84">
        <f t="shared" si="0"/>
        <v>792</v>
      </c>
      <c r="F17">
        <v>260</v>
      </c>
      <c r="G17">
        <v>0.65</v>
      </c>
      <c r="H17" s="84">
        <f t="shared" si="1"/>
        <v>169</v>
      </c>
      <c r="J17" s="84">
        <f t="shared" si="2"/>
        <v>961</v>
      </c>
    </row>
    <row r="18" spans="1:10" x14ac:dyDescent="0.2">
      <c r="A18" t="s">
        <v>180</v>
      </c>
      <c r="B18">
        <v>99</v>
      </c>
      <c r="C18">
        <v>8</v>
      </c>
      <c r="D18" s="84">
        <f t="shared" si="0"/>
        <v>792</v>
      </c>
      <c r="F18">
        <v>260</v>
      </c>
      <c r="G18">
        <v>0.65</v>
      </c>
      <c r="H18" s="84">
        <f t="shared" si="1"/>
        <v>169</v>
      </c>
      <c r="J18" s="84">
        <f t="shared" si="2"/>
        <v>961</v>
      </c>
    </row>
    <row r="19" spans="1:10" x14ac:dyDescent="0.2">
      <c r="A19" t="s">
        <v>181</v>
      </c>
      <c r="B19">
        <v>99</v>
      </c>
      <c r="C19">
        <v>8</v>
      </c>
      <c r="D19" s="84">
        <f t="shared" si="0"/>
        <v>792</v>
      </c>
      <c r="F19">
        <v>260</v>
      </c>
      <c r="G19">
        <v>0.65</v>
      </c>
      <c r="H19" s="84">
        <f t="shared" si="1"/>
        <v>169</v>
      </c>
      <c r="J19" s="84">
        <f t="shared" si="2"/>
        <v>961</v>
      </c>
    </row>
    <row r="20" spans="1:10" x14ac:dyDescent="0.2">
      <c r="A20" t="s">
        <v>182</v>
      </c>
      <c r="B20">
        <v>99</v>
      </c>
      <c r="C20">
        <v>8</v>
      </c>
      <c r="D20" s="84">
        <f t="shared" si="0"/>
        <v>792</v>
      </c>
      <c r="F20">
        <v>260</v>
      </c>
      <c r="G20">
        <v>0.65</v>
      </c>
      <c r="H20" s="84">
        <f t="shared" si="1"/>
        <v>169</v>
      </c>
      <c r="J20" s="84">
        <f t="shared" si="2"/>
        <v>961</v>
      </c>
    </row>
    <row r="21" spans="1:10" x14ac:dyDescent="0.2">
      <c r="A21" t="s">
        <v>183</v>
      </c>
      <c r="B21">
        <v>99</v>
      </c>
      <c r="C21">
        <v>8</v>
      </c>
      <c r="D21" s="84">
        <f t="shared" si="0"/>
        <v>792</v>
      </c>
      <c r="F21">
        <v>260</v>
      </c>
      <c r="G21">
        <v>0.65</v>
      </c>
      <c r="H21" s="84">
        <f t="shared" si="1"/>
        <v>169</v>
      </c>
      <c r="J21" s="84">
        <f t="shared" si="2"/>
        <v>961</v>
      </c>
    </row>
    <row r="22" spans="1:10" x14ac:dyDescent="0.2">
      <c r="A22" t="s">
        <v>184</v>
      </c>
      <c r="B22">
        <v>99</v>
      </c>
      <c r="C22">
        <v>8</v>
      </c>
      <c r="D22" s="86">
        <f t="shared" si="0"/>
        <v>792</v>
      </c>
      <c r="F22">
        <v>260</v>
      </c>
      <c r="G22">
        <v>0.65</v>
      </c>
      <c r="H22" s="86">
        <f t="shared" si="1"/>
        <v>169</v>
      </c>
      <c r="J22" s="86">
        <f t="shared" si="2"/>
        <v>961</v>
      </c>
    </row>
    <row r="23" spans="1:10" x14ac:dyDescent="0.2">
      <c r="A23" t="s">
        <v>185</v>
      </c>
      <c r="B23">
        <v>99</v>
      </c>
      <c r="C23">
        <v>8</v>
      </c>
      <c r="D23" s="86">
        <f t="shared" si="0"/>
        <v>792</v>
      </c>
      <c r="F23">
        <v>260</v>
      </c>
      <c r="G23">
        <v>0.65</v>
      </c>
      <c r="H23" s="86">
        <f t="shared" si="1"/>
        <v>169</v>
      </c>
      <c r="J23" s="86">
        <f t="shared" si="2"/>
        <v>961</v>
      </c>
    </row>
    <row r="24" spans="1:10" x14ac:dyDescent="0.2">
      <c r="A24" t="s">
        <v>186</v>
      </c>
      <c r="B24">
        <v>99</v>
      </c>
      <c r="C24">
        <v>8</v>
      </c>
      <c r="D24" s="86">
        <f t="shared" si="0"/>
        <v>792</v>
      </c>
      <c r="F24">
        <v>260</v>
      </c>
      <c r="G24">
        <v>0.65</v>
      </c>
      <c r="H24" s="86">
        <f t="shared" si="1"/>
        <v>169</v>
      </c>
      <c r="J24" s="86">
        <f t="shared" si="2"/>
        <v>961</v>
      </c>
    </row>
    <row r="25" spans="1:10" x14ac:dyDescent="0.2">
      <c r="A25" t="s">
        <v>187</v>
      </c>
      <c r="B25">
        <v>99</v>
      </c>
      <c r="C25">
        <v>8</v>
      </c>
      <c r="D25" s="86">
        <f t="shared" si="0"/>
        <v>792</v>
      </c>
      <c r="F25">
        <v>260</v>
      </c>
      <c r="G25">
        <v>0.65</v>
      </c>
      <c r="H25" s="86">
        <f t="shared" si="1"/>
        <v>169</v>
      </c>
      <c r="J25" s="86">
        <f t="shared" si="2"/>
        <v>961</v>
      </c>
    </row>
    <row r="26" spans="1:10" x14ac:dyDescent="0.2">
      <c r="A26" t="s">
        <v>188</v>
      </c>
      <c r="B26">
        <v>99</v>
      </c>
      <c r="C26">
        <v>8</v>
      </c>
      <c r="D26" s="86">
        <f t="shared" si="0"/>
        <v>792</v>
      </c>
      <c r="F26">
        <v>260</v>
      </c>
      <c r="G26">
        <v>0.65</v>
      </c>
      <c r="H26" s="86">
        <f t="shared" si="1"/>
        <v>169</v>
      </c>
      <c r="J26" s="86">
        <f t="shared" si="2"/>
        <v>961</v>
      </c>
    </row>
    <row r="27" spans="1:10" x14ac:dyDescent="0.2">
      <c r="A27" t="s">
        <v>189</v>
      </c>
      <c r="B27">
        <v>99</v>
      </c>
      <c r="C27">
        <v>8</v>
      </c>
      <c r="D27" s="86">
        <f t="shared" si="0"/>
        <v>792</v>
      </c>
      <c r="F27">
        <v>260</v>
      </c>
      <c r="G27">
        <v>0.65</v>
      </c>
      <c r="H27" s="86">
        <f t="shared" si="1"/>
        <v>169</v>
      </c>
      <c r="J27" s="86">
        <f t="shared" si="2"/>
        <v>961</v>
      </c>
    </row>
    <row r="28" spans="1:10" x14ac:dyDescent="0.2">
      <c r="A28" t="s">
        <v>190</v>
      </c>
      <c r="B28">
        <v>99</v>
      </c>
      <c r="C28">
        <v>8</v>
      </c>
      <c r="D28" s="86">
        <f t="shared" si="0"/>
        <v>792</v>
      </c>
      <c r="F28">
        <v>260</v>
      </c>
      <c r="G28">
        <v>0.65</v>
      </c>
      <c r="H28" s="86">
        <f t="shared" si="1"/>
        <v>169</v>
      </c>
      <c r="J28" s="86">
        <f t="shared" si="2"/>
        <v>961</v>
      </c>
    </row>
    <row r="29" spans="1:10" x14ac:dyDescent="0.2">
      <c r="A29" t="s">
        <v>191</v>
      </c>
      <c r="B29">
        <v>99</v>
      </c>
      <c r="C29">
        <v>8</v>
      </c>
      <c r="D29" s="86">
        <f t="shared" si="0"/>
        <v>792</v>
      </c>
      <c r="F29">
        <v>260</v>
      </c>
      <c r="G29">
        <v>0.65</v>
      </c>
      <c r="H29" s="86">
        <f t="shared" si="1"/>
        <v>169</v>
      </c>
      <c r="J29" s="86">
        <f t="shared" si="2"/>
        <v>961</v>
      </c>
    </row>
    <row r="30" spans="1:10" x14ac:dyDescent="0.2">
      <c r="A30" t="s">
        <v>192</v>
      </c>
      <c r="B30">
        <v>99</v>
      </c>
      <c r="C30">
        <v>8</v>
      </c>
      <c r="D30" s="86">
        <f t="shared" si="0"/>
        <v>792</v>
      </c>
      <c r="F30">
        <v>260</v>
      </c>
      <c r="G30">
        <v>0.65</v>
      </c>
      <c r="H30" s="86">
        <f t="shared" si="1"/>
        <v>169</v>
      </c>
      <c r="J30" s="86">
        <f t="shared" si="2"/>
        <v>961</v>
      </c>
    </row>
    <row r="31" spans="1:10" x14ac:dyDescent="0.2">
      <c r="A31" t="s">
        <v>193</v>
      </c>
      <c r="B31">
        <v>99</v>
      </c>
      <c r="C31">
        <v>8</v>
      </c>
      <c r="D31" s="86">
        <f t="shared" si="0"/>
        <v>792</v>
      </c>
      <c r="F31">
        <v>260</v>
      </c>
      <c r="G31">
        <v>0.65</v>
      </c>
      <c r="H31" s="86">
        <f t="shared" si="1"/>
        <v>169</v>
      </c>
      <c r="J31" s="86">
        <f t="shared" si="2"/>
        <v>961</v>
      </c>
    </row>
    <row r="32" spans="1:10" x14ac:dyDescent="0.2">
      <c r="A32" t="s">
        <v>194</v>
      </c>
      <c r="B32">
        <v>99</v>
      </c>
      <c r="C32">
        <v>8</v>
      </c>
      <c r="D32" s="86">
        <f t="shared" si="0"/>
        <v>792</v>
      </c>
      <c r="F32">
        <v>260</v>
      </c>
      <c r="G32">
        <v>0.65</v>
      </c>
      <c r="H32" s="86">
        <f t="shared" si="1"/>
        <v>169</v>
      </c>
      <c r="J32" s="86">
        <f t="shared" si="2"/>
        <v>961</v>
      </c>
    </row>
    <row r="33" spans="1:10" x14ac:dyDescent="0.2">
      <c r="A33" t="s">
        <v>195</v>
      </c>
      <c r="B33">
        <v>99</v>
      </c>
      <c r="C33">
        <v>8</v>
      </c>
      <c r="D33" s="86">
        <f t="shared" si="0"/>
        <v>792</v>
      </c>
      <c r="F33">
        <v>260</v>
      </c>
      <c r="G33">
        <v>0.65</v>
      </c>
      <c r="H33" s="86">
        <f t="shared" si="1"/>
        <v>169</v>
      </c>
      <c r="J33" s="86">
        <f t="shared" si="2"/>
        <v>961</v>
      </c>
    </row>
    <row r="34" spans="1:10" x14ac:dyDescent="0.2">
      <c r="A34" t="s">
        <v>196</v>
      </c>
      <c r="B34">
        <v>99</v>
      </c>
      <c r="C34">
        <v>8</v>
      </c>
      <c r="D34" s="86">
        <f t="shared" si="0"/>
        <v>792</v>
      </c>
      <c r="F34">
        <v>260</v>
      </c>
      <c r="G34">
        <v>0.65</v>
      </c>
      <c r="H34" s="86">
        <f t="shared" si="1"/>
        <v>169</v>
      </c>
      <c r="J34" s="86">
        <f t="shared" si="2"/>
        <v>961</v>
      </c>
    </row>
    <row r="35" spans="1:10" x14ac:dyDescent="0.2">
      <c r="A35" t="s">
        <v>197</v>
      </c>
      <c r="B35">
        <v>99</v>
      </c>
      <c r="C35">
        <v>8</v>
      </c>
      <c r="D35" s="86">
        <f t="shared" si="0"/>
        <v>792</v>
      </c>
      <c r="F35">
        <v>260</v>
      </c>
      <c r="G35">
        <v>0.65</v>
      </c>
      <c r="H35" s="86">
        <f t="shared" si="1"/>
        <v>169</v>
      </c>
      <c r="J35" s="86">
        <f t="shared" si="2"/>
        <v>961</v>
      </c>
    </row>
    <row r="36" spans="1:10" x14ac:dyDescent="0.2">
      <c r="A36" t="s">
        <v>198</v>
      </c>
      <c r="B36">
        <v>99</v>
      </c>
      <c r="C36">
        <v>8</v>
      </c>
      <c r="D36" s="86">
        <f t="shared" si="0"/>
        <v>792</v>
      </c>
      <c r="F36">
        <v>260</v>
      </c>
      <c r="G36">
        <v>0.65</v>
      </c>
      <c r="H36" s="86">
        <f t="shared" si="1"/>
        <v>169</v>
      </c>
      <c r="J36" s="86">
        <f t="shared" si="2"/>
        <v>961</v>
      </c>
    </row>
    <row r="37" spans="1:10" x14ac:dyDescent="0.2">
      <c r="A37" t="s">
        <v>199</v>
      </c>
      <c r="B37">
        <v>99</v>
      </c>
      <c r="C37">
        <v>8</v>
      </c>
      <c r="D37" s="86">
        <f t="shared" si="0"/>
        <v>792</v>
      </c>
      <c r="F37">
        <v>260</v>
      </c>
      <c r="G37">
        <v>0.65</v>
      </c>
      <c r="H37" s="86">
        <f t="shared" si="1"/>
        <v>169</v>
      </c>
      <c r="J37" s="86">
        <f t="shared" si="2"/>
        <v>961</v>
      </c>
    </row>
    <row r="38" spans="1:10" x14ac:dyDescent="0.2">
      <c r="A38" t="s">
        <v>200</v>
      </c>
      <c r="B38">
        <v>99</v>
      </c>
      <c r="C38">
        <v>8</v>
      </c>
      <c r="D38" s="86">
        <f t="shared" si="0"/>
        <v>792</v>
      </c>
      <c r="F38">
        <v>260</v>
      </c>
      <c r="G38">
        <v>0.65</v>
      </c>
      <c r="H38" s="86">
        <f t="shared" si="1"/>
        <v>169</v>
      </c>
      <c r="J38" s="86">
        <f t="shared" si="2"/>
        <v>961</v>
      </c>
    </row>
    <row r="39" spans="1:10" x14ac:dyDescent="0.2">
      <c r="A39" t="s">
        <v>201</v>
      </c>
      <c r="B39">
        <v>99</v>
      </c>
      <c r="C39">
        <v>8</v>
      </c>
      <c r="D39" s="86">
        <f t="shared" si="0"/>
        <v>792</v>
      </c>
      <c r="F39">
        <v>260</v>
      </c>
      <c r="G39">
        <v>0.65</v>
      </c>
      <c r="H39" s="86">
        <f t="shared" si="1"/>
        <v>169</v>
      </c>
      <c r="J39" s="86">
        <f t="shared" si="2"/>
        <v>961</v>
      </c>
    </row>
    <row r="40" spans="1:10" x14ac:dyDescent="0.2">
      <c r="A40" t="s">
        <v>202</v>
      </c>
      <c r="B40">
        <v>99</v>
      </c>
      <c r="C40">
        <v>8</v>
      </c>
      <c r="D40" s="86">
        <f t="shared" si="0"/>
        <v>792</v>
      </c>
      <c r="F40">
        <v>260</v>
      </c>
      <c r="G40">
        <v>0.65</v>
      </c>
      <c r="H40" s="86">
        <f t="shared" si="1"/>
        <v>169</v>
      </c>
      <c r="J40" s="86">
        <f t="shared" si="2"/>
        <v>961</v>
      </c>
    </row>
    <row r="42" spans="1:10" x14ac:dyDescent="0.2">
      <c r="A42" t="s">
        <v>203</v>
      </c>
      <c r="D42" s="85">
        <f>SUM(D4:D40)</f>
        <v>29272</v>
      </c>
      <c r="H42" s="85">
        <f>SUM(H4:H40)</f>
        <v>6253</v>
      </c>
      <c r="J42" s="86">
        <f t="shared" si="2"/>
        <v>35525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4"/>
  <sheetViews>
    <sheetView workbookViewId="0">
      <selection activeCell="B63" sqref="B63"/>
    </sheetView>
  </sheetViews>
  <sheetFormatPr defaultColWidth="8.85546875" defaultRowHeight="12.75" x14ac:dyDescent="0.2"/>
  <cols>
    <col min="1" max="1" width="15.28515625" bestFit="1" customWidth="1"/>
    <col min="2" max="2" width="27" bestFit="1" customWidth="1"/>
    <col min="3" max="3" width="6.7109375" customWidth="1"/>
    <col min="4" max="4" width="9.28515625" style="1" bestFit="1" customWidth="1"/>
    <col min="5" max="5" width="10.28515625" style="1" bestFit="1" customWidth="1"/>
  </cols>
  <sheetData>
    <row r="1" spans="1:6" x14ac:dyDescent="0.2">
      <c r="A1" t="s">
        <v>59</v>
      </c>
      <c r="B1" t="s">
        <v>60</v>
      </c>
      <c r="C1">
        <v>1</v>
      </c>
      <c r="D1" s="1">
        <v>625</v>
      </c>
      <c r="E1" s="38">
        <f>C1*D1</f>
        <v>625</v>
      </c>
    </row>
    <row r="2" spans="1:6" x14ac:dyDescent="0.2">
      <c r="B2" t="s">
        <v>61</v>
      </c>
      <c r="C2">
        <v>1</v>
      </c>
      <c r="D2" s="1">
        <v>375</v>
      </c>
      <c r="E2" s="38">
        <f t="shared" ref="E2:E19" si="0">C2*D2</f>
        <v>375</v>
      </c>
    </row>
    <row r="3" spans="1:6" x14ac:dyDescent="0.2">
      <c r="B3" t="s">
        <v>62</v>
      </c>
      <c r="C3">
        <v>1</v>
      </c>
      <c r="D3" s="1">
        <v>300</v>
      </c>
      <c r="E3" s="36">
        <f t="shared" si="0"/>
        <v>300</v>
      </c>
      <c r="F3" t="s">
        <v>143</v>
      </c>
    </row>
    <row r="4" spans="1:6" x14ac:dyDescent="0.2">
      <c r="B4" t="s">
        <v>63</v>
      </c>
      <c r="C4">
        <v>1</v>
      </c>
      <c r="D4" s="1">
        <v>300</v>
      </c>
      <c r="E4" s="36">
        <f t="shared" si="0"/>
        <v>300</v>
      </c>
      <c r="F4" t="s">
        <v>143</v>
      </c>
    </row>
    <row r="5" spans="1:6" x14ac:dyDescent="0.2">
      <c r="B5" t="s">
        <v>65</v>
      </c>
      <c r="C5">
        <v>20</v>
      </c>
      <c r="D5" s="1">
        <v>40</v>
      </c>
      <c r="E5" s="1">
        <f t="shared" si="0"/>
        <v>800</v>
      </c>
      <c r="F5" t="s">
        <v>144</v>
      </c>
    </row>
    <row r="6" spans="1:6" x14ac:dyDescent="0.2">
      <c r="B6" t="s">
        <v>64</v>
      </c>
      <c r="C6">
        <v>20</v>
      </c>
      <c r="D6" s="1">
        <v>50</v>
      </c>
      <c r="E6" s="1">
        <f t="shared" si="0"/>
        <v>1000</v>
      </c>
      <c r="F6" t="s">
        <v>144</v>
      </c>
    </row>
    <row r="7" spans="1:6" x14ac:dyDescent="0.2">
      <c r="B7" t="s">
        <v>76</v>
      </c>
      <c r="C7">
        <v>20</v>
      </c>
      <c r="D7" s="1">
        <v>-40</v>
      </c>
      <c r="E7" s="1">
        <f>C7*D7</f>
        <v>-800</v>
      </c>
      <c r="F7" t="s">
        <v>144</v>
      </c>
    </row>
    <row r="8" spans="1:6" x14ac:dyDescent="0.2">
      <c r="B8" t="s">
        <v>64</v>
      </c>
      <c r="C8">
        <v>20</v>
      </c>
      <c r="D8" s="1">
        <v>-50</v>
      </c>
      <c r="E8" s="1">
        <f>C8*D8</f>
        <v>-1000</v>
      </c>
      <c r="F8" t="s">
        <v>144</v>
      </c>
    </row>
    <row r="10" spans="1:6" x14ac:dyDescent="0.2">
      <c r="A10" t="s">
        <v>72</v>
      </c>
      <c r="B10" t="s">
        <v>60</v>
      </c>
      <c r="C10">
        <v>1</v>
      </c>
      <c r="D10" s="1">
        <v>50</v>
      </c>
      <c r="E10" s="38">
        <f>C10*D10</f>
        <v>50</v>
      </c>
    </row>
    <row r="11" spans="1:6" x14ac:dyDescent="0.2">
      <c r="B11" t="s">
        <v>62</v>
      </c>
      <c r="C11">
        <v>1</v>
      </c>
      <c r="D11" s="1">
        <v>300</v>
      </c>
      <c r="E11" s="36">
        <f>C11*D11</f>
        <v>300</v>
      </c>
      <c r="F11" t="s">
        <v>143</v>
      </c>
    </row>
    <row r="12" spans="1:6" x14ac:dyDescent="0.2">
      <c r="E12" s="1">
        <f t="shared" si="0"/>
        <v>0</v>
      </c>
    </row>
    <row r="13" spans="1:6" x14ac:dyDescent="0.2">
      <c r="E13" s="1">
        <f t="shared" si="0"/>
        <v>0</v>
      </c>
    </row>
    <row r="14" spans="1:6" x14ac:dyDescent="0.2">
      <c r="A14" t="s">
        <v>68</v>
      </c>
      <c r="B14" t="s">
        <v>67</v>
      </c>
      <c r="C14">
        <v>3</v>
      </c>
      <c r="D14" s="1">
        <v>200</v>
      </c>
      <c r="E14" s="37">
        <f t="shared" si="0"/>
        <v>600</v>
      </c>
    </row>
    <row r="15" spans="1:6" x14ac:dyDescent="0.2">
      <c r="A15" t="s">
        <v>66</v>
      </c>
      <c r="B15" t="s">
        <v>67</v>
      </c>
      <c r="C15">
        <v>3</v>
      </c>
      <c r="D15" s="1">
        <v>200</v>
      </c>
      <c r="E15" s="37">
        <f t="shared" si="0"/>
        <v>600</v>
      </c>
    </row>
    <row r="16" spans="1:6" x14ac:dyDescent="0.2">
      <c r="E16" s="1">
        <f t="shared" si="0"/>
        <v>0</v>
      </c>
    </row>
    <row r="17" spans="1:5" x14ac:dyDescent="0.2">
      <c r="A17" t="s">
        <v>69</v>
      </c>
      <c r="B17" t="s">
        <v>67</v>
      </c>
      <c r="C17">
        <v>3</v>
      </c>
      <c r="D17" s="1">
        <v>200</v>
      </c>
      <c r="E17" s="37">
        <f t="shared" si="0"/>
        <v>600</v>
      </c>
    </row>
    <row r="18" spans="1:5" x14ac:dyDescent="0.2">
      <c r="A18" t="s">
        <v>145</v>
      </c>
      <c r="B18" t="s">
        <v>67</v>
      </c>
      <c r="C18">
        <v>3</v>
      </c>
      <c r="D18" s="1">
        <v>200</v>
      </c>
      <c r="E18" s="37">
        <f>C18*D18</f>
        <v>600</v>
      </c>
    </row>
    <row r="19" spans="1:5" x14ac:dyDescent="0.2">
      <c r="E19" s="1">
        <f t="shared" si="0"/>
        <v>0</v>
      </c>
    </row>
    <row r="20" spans="1:5" x14ac:dyDescent="0.2">
      <c r="A20" t="s">
        <v>70</v>
      </c>
      <c r="B20" t="s">
        <v>67</v>
      </c>
      <c r="C20">
        <v>2</v>
      </c>
      <c r="D20" s="1">
        <v>70</v>
      </c>
      <c r="E20" s="37">
        <f>C20*D20</f>
        <v>140</v>
      </c>
    </row>
    <row r="21" spans="1:5" x14ac:dyDescent="0.2">
      <c r="A21" t="s">
        <v>71</v>
      </c>
      <c r="B21" t="s">
        <v>67</v>
      </c>
      <c r="C21">
        <v>2</v>
      </c>
      <c r="D21" s="1">
        <v>70</v>
      </c>
      <c r="E21" s="37">
        <f>C21*D21</f>
        <v>140</v>
      </c>
    </row>
    <row r="23" spans="1:5" x14ac:dyDescent="0.2">
      <c r="A23" t="s">
        <v>73</v>
      </c>
      <c r="B23" t="s">
        <v>67</v>
      </c>
      <c r="C23">
        <v>2</v>
      </c>
      <c r="D23" s="1">
        <v>500</v>
      </c>
      <c r="E23" s="37">
        <f>C23*D23</f>
        <v>1000</v>
      </c>
    </row>
    <row r="24" spans="1:5" x14ac:dyDescent="0.2">
      <c r="B24" t="s">
        <v>74</v>
      </c>
      <c r="C24">
        <v>2</v>
      </c>
      <c r="D24" s="1">
        <v>400</v>
      </c>
      <c r="E24" s="37">
        <f>C24*D24</f>
        <v>800</v>
      </c>
    </row>
    <row r="25" spans="1:5" x14ac:dyDescent="0.2">
      <c r="B25" t="s">
        <v>75</v>
      </c>
      <c r="C25">
        <v>17</v>
      </c>
      <c r="D25" s="1">
        <v>-50</v>
      </c>
      <c r="E25" s="1">
        <f>C25*D25</f>
        <v>-850</v>
      </c>
    </row>
    <row r="27" spans="1:5" x14ac:dyDescent="0.2">
      <c r="A27" t="s">
        <v>78</v>
      </c>
      <c r="B27" t="s">
        <v>80</v>
      </c>
      <c r="C27">
        <v>1</v>
      </c>
      <c r="D27" s="1">
        <v>3000</v>
      </c>
      <c r="E27" s="37">
        <f t="shared" ref="E27:E34" si="1">C27*D27</f>
        <v>3000</v>
      </c>
    </row>
    <row r="28" spans="1:5" x14ac:dyDescent="0.2">
      <c r="B28" t="s">
        <v>79</v>
      </c>
      <c r="C28">
        <v>100</v>
      </c>
      <c r="D28" s="1">
        <v>-50</v>
      </c>
      <c r="E28" s="37">
        <f t="shared" si="1"/>
        <v>-5000</v>
      </c>
    </row>
    <row r="30" spans="1:5" x14ac:dyDescent="0.2">
      <c r="A30" t="s">
        <v>81</v>
      </c>
      <c r="B30" t="s">
        <v>80</v>
      </c>
      <c r="C30">
        <v>1</v>
      </c>
      <c r="D30" s="1">
        <v>750</v>
      </c>
      <c r="E30" s="1">
        <f t="shared" si="1"/>
        <v>750</v>
      </c>
    </row>
    <row r="32" spans="1:5" x14ac:dyDescent="0.2">
      <c r="A32" t="s">
        <v>82</v>
      </c>
      <c r="B32" t="s">
        <v>80</v>
      </c>
      <c r="C32">
        <v>1</v>
      </c>
      <c r="D32" s="1">
        <v>750</v>
      </c>
      <c r="E32" s="1">
        <f t="shared" si="1"/>
        <v>750</v>
      </c>
    </row>
    <row r="34" spans="1:5" x14ac:dyDescent="0.2">
      <c r="A34" t="s">
        <v>83</v>
      </c>
      <c r="C34">
        <v>1</v>
      </c>
      <c r="D34" s="1">
        <v>3000</v>
      </c>
      <c r="E34" s="1">
        <f t="shared" si="1"/>
        <v>3000</v>
      </c>
    </row>
  </sheetData>
  <phoneticPr fontId="2" type="noConversion"/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2016_17actvs2016_17budsept2917</vt:lpstr>
      <vt:lpstr>2017_18actuals</vt:lpstr>
      <vt:lpstr>Pizza_Revenue</vt:lpstr>
      <vt:lpstr>Pizza_Cost</vt:lpstr>
      <vt:lpstr> budget items</vt:lpstr>
      <vt:lpstr>' budget items'!Print_Area</vt:lpstr>
      <vt:lpstr>'2016_17actvs2016_17budsept2917'!Print_Area</vt:lpstr>
      <vt:lpstr>'2017_18actuals'!Print_Area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shayes</dc:creator>
  <cp:lastModifiedBy>Sofia, Annalise</cp:lastModifiedBy>
  <cp:lastPrinted>2018-04-09T03:50:35Z</cp:lastPrinted>
  <dcterms:created xsi:type="dcterms:W3CDTF">2017-10-19T21:36:14Z</dcterms:created>
  <dcterms:modified xsi:type="dcterms:W3CDTF">2018-07-12T16:13:06Z</dcterms:modified>
</cp:coreProperties>
</file>